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xl/drawings/drawing11.xml" ContentType="application/vnd.openxmlformats-officedocument.drawing+xml"/>
  <Override PartName="/xl/drawings/drawing5.xml" ContentType="application/vnd.openxmlformats-officedocument.drawing+xml"/>
  <Override PartName="/xl/drawings/drawing8.xml" ContentType="application/vnd.openxmlformats-officedocument.drawing+xml"/>
  <Override PartName="/xl/drawings/drawing7.xml" ContentType="application/vnd.openxmlformats-officedocument.drawing+xml"/>
  <Override PartName="/xl/drawings/drawing10.xml" ContentType="application/vnd.openxmlformats-officedocument.drawing+xml"/>
  <Override PartName="/xl/drawings/drawing1.xml" ContentType="application/vnd.openxmlformats-officedocument.drawing+xml"/>
  <Override PartName="/xl/drawings/drawing9.xml" ContentType="application/vnd.openxmlformats-officedocument.drawing+xml"/>
  <Override PartName="/xl/drawings/drawing2.xml" ContentType="application/vnd.openxmlformats-officedocument.drawing+xml"/>
  <Override PartName="/xl/drawings/drawing4.xml" ContentType="application/vnd.openxmlformats-officedocument.drawing+xml"/>
  <Override PartName="/xl/drawings/drawing6.xml" ContentType="application/vnd.openxmlformats-officedocument.drawing+xml"/>
  <Override PartName="/xl/drawings/drawing3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workbook.xml" ContentType="application/vnd.openxmlformats-officedocument.spreadsheetml.sheet.main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6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4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HS" state="visible" r:id="rId3"/>
    <sheet sheetId="2" name="arrKom" state="visible" r:id="rId4"/>
    <sheet sheetId="3" name="Bankom" state="visible" r:id="rId5"/>
    <sheet sheetId="4" name="bedKom" state="visible" r:id="rId6"/>
    <sheet sheetId="5" name="TriKom" state="visible" r:id="rId7"/>
    <sheet sheetId="6" name="dotKom" state="visible" r:id="rId8"/>
    <sheet sheetId="7" name="Fagkom" state="visible" r:id="rId9"/>
    <sheet sheetId="8" name="ProKom" state="visible" r:id="rId10"/>
    <sheet sheetId="9" name="VelKom" state="visible" r:id="rId11"/>
    <sheet sheetId="10" name="Sammenligning, Budsjett" state="visible" r:id="rId12"/>
    <sheet sheetId="11" name="Totalt regnskap" state="visible" r:id="rId13"/>
  </sheets>
  <definedNames/>
  <calcPr/>
</workbook>
</file>

<file path=xl/comments1.xml><?xml version="1.0" encoding="utf-8"?>
<comments xmlns="http://schemas.openxmlformats.org/spreadsheetml/2006/main">
  <authors>
    <author/>
  </authors>
  <commentList>
    <comment ref="G21" authorId="0">
      <text>
        <t xml:space="preserve">[Endret fra 9000] Denne skal dere ikke ha, inntekt på Små arrangementer er meningløst
	-Jim Frode Hoff
Dette gjorde også at sum på inntekt stemmer med sum på inntekt i Budsjetter
	-Jim Frode Hoff</t>
      </text>
    </comment>
  </commentList>
</comments>
</file>

<file path=xl/sharedStrings.xml><?xml version="1.0" encoding="utf-8"?>
<sst xmlns="http://schemas.openxmlformats.org/spreadsheetml/2006/main">
  <si>
    <t> Budsjett og regnskap for Hovedstyret </t>
  </si>
  <si>
    <t> Nota </t>
  </si>
  <si>
    <t>Budsjett
2012/2013</t>
  </si>
  <si>
    <t>Regnskap
2012</t>
  </si>
  <si>
    <t>Budsjett
2013/2014</t>
  </si>
  <si>
    <t>Regnskap    2013</t>
  </si>
  <si>
    <t>Budsjett 2014/2015</t>
  </si>
  <si>
    <t> Inntekter </t>
  </si>
  <si>
    <t> Renter </t>
  </si>
  <si>
    <t>23.57</t>
  </si>
  <si>
    <t> Egenandeler representasjon </t>
  </si>
  <si>
    <t> Salg av komiteedaljer </t>
  </si>
  <si>
    <t> Salg av medlemspinn </t>
  </si>
  <si>
    <t> MVA </t>
  </si>
  <si>
    <t> Sum </t>
  </si>
  <si>
    <t> Utgifter </t>
  </si>
  <si>
    <t> Andre/uforutsette utgifter </t>
  </si>
  <si>
    <t> Internoverføring </t>
  </si>
  <si>
    <t> Arrangementer </t>
  </si>
  <si>
    <t>Støtte kickoff/reboot, kompilering og styrevors</t>
  </si>
  <si>
    <t> Prosjekter </t>
  </si>
  <si>
    <t> Bankgebyrer </t>
  </si>
  <si>
    <t> Bekledning </t>
  </si>
  <si>
    <t> Bodleie SiT </t>
  </si>
  <si>
    <t> Gaver </t>
  </si>
  <si>
    <t>3000 til representasjon, 1000 til andre gaver</t>
  </si>
  <si>
    <t> Representasjon </t>
  </si>
  <si>
    <t>Redusert sponsing, 3000 mer inntekt</t>
  </si>
  <si>
    <t> Støtte til andre </t>
  </si>
  <si>
    <t> Støtte til komiteer </t>
  </si>
  <si>
    <t>Støtte til velKom</t>
  </si>
  <si>
    <t> Støtte til Datakameratene </t>
  </si>
  <si>
    <t> Støtte til pangKom </t>
  </si>
  <si>
    <t> Teambuilding </t>
  </si>
  <si>
    <t> Transport </t>
  </si>
  <si>
    <t> Trykksaker </t>
  </si>
  <si>
    <t> Utstyrkjøp </t>
  </si>
  <si>
    <t> Rekvisitta </t>
  </si>
  <si>
    <t> Sparing til jubileum </t>
  </si>
  <si>
    <t>Økt med 10 000</t>
  </si>
  <si>
    <t> Utmatrikulering </t>
  </si>
  <si>
    <t> MVA til skatteetaten </t>
  </si>
  <si>
    <t> Sum </t>
  </si>
  <si>
    <t> Resultat </t>
  </si>
  <si>
    <t> Nota 1: </t>
  </si>
  <si>
    <t> Flyttet til banKom-budsjett fra 13/14 </t>
  </si>
  <si>
    <t> Nota 2: </t>
  </si>
  <si>
    <t> Leie økt fra 155 -&gt; 300 + Innlåsing i bod pga. mistet nøkkel </t>
  </si>
  <si>
    <t> Nota 3: </t>
  </si>
  <si>
    <t> Økt deltakelse på immball, disse pengene har kommet inn i 2013 </t>
  </si>
  <si>
    <t>Nota 4:</t>
  </si>
  <si>
    <t>Økt for å kunne la noe av de økte midlene stå mer åpent til neste HS</t>
  </si>
  <si>
    <t>Nota 5:</t>
  </si>
  <si>
    <t>Dette har ikke blitt satt av i banken i 2013, så budsjettposten er større for å kunne</t>
  </si>
  <si>
    <t>reflektere neste års regnskap</t>
  </si>
  <si>
    <t> Budsjett 12/13</t>
  </si>
  <si>
    <t> Regnskap 12</t>
  </si>
  <si>
    <t> Budsjett 13/14</t>
  </si>
  <si>
    <t> Regnskap 13</t>
  </si>
  <si>
    <t>Budsjett 14/15</t>
  </si>
  <si>
    <t> Inntekter</t>
  </si>
  <si>
    <t> Blåtur</t>
  </si>
  <si>
    <t>Sponsing</t>
  </si>
  <si>
    <t>I år</t>
  </si>
  <si>
    <t>Øking fra i fjor</t>
  </si>
  <si>
    <t> Immball</t>
  </si>
  <si>
    <t>Immball</t>
  </si>
  <si>
    <t> Julebord</t>
  </si>
  <si>
    <t>Åretur</t>
  </si>
  <si>
    <t> Juleverksted</t>
  </si>
  <si>
    <t>Julebord</t>
  </si>
  <si>
    <t> Jubileum</t>
  </si>
  <si>
    <t>Studenterhytta</t>
  </si>
  <si>
    <t> Utenlandstur</t>
  </si>
  <si>
    <t>X-fest</t>
  </si>
  <si>
    <t> OnLAN</t>
  </si>
  <si>
    <t> Curling</t>
  </si>
  <si>
    <t> Lazer-tag</t>
  </si>
  <si>
    <t> 17. Mai middag</t>
  </si>
  <si>
    <t> Åretur</t>
  </si>
  <si>
    <t> Tur til studenterhytta</t>
  </si>
  <si>
    <t> Vinter-OL</t>
  </si>
  <si>
    <t> Pirbadet</t>
  </si>
  <si>
    <t> Ølsmaking</t>
  </si>
  <si>
    <t> Vinsmaking</t>
  </si>
  <si>
    <t> Andre/uforutsette inntekter</t>
  </si>
  <si>
    <t> Sum</t>
  </si>
  <si>
    <t> Utgifter</t>
  </si>
  <si>
    <t>Budsjett 12/13</t>
  </si>
  <si>
    <t>Regnskap 12</t>
  </si>
  <si>
    <t>Budsjett 13/14</t>
  </si>
  <si>
    <t>Regnskap 13</t>
  </si>
  <si>
    <t>Budsjett 14/15</t>
  </si>
  <si>
    <t> Blåtur</t>
  </si>
  <si>
    <t> Immball</t>
  </si>
  <si>
    <t> Julebord</t>
  </si>
  <si>
    <t> Juleverksted</t>
  </si>
  <si>
    <t> Jubileum</t>
  </si>
  <si>
    <t> Utenlandstur</t>
  </si>
  <si>
    <t> Trykksaker</t>
  </si>
  <si>
    <t> Bekledning</t>
  </si>
  <si>
    <t> Reboot/kickoff</t>
  </si>
  <si>
    <t> Teambuilding</t>
  </si>
  <si>
    <t> Representasjon</t>
  </si>
  <si>
    <t> Nye arrangementer</t>
  </si>
  <si>
    <t> Små arrangementer</t>
  </si>
  <si>
    <t> 17. Mai middag</t>
  </si>
  <si>
    <t>Prisen er 289 kr/pers med 80 plasser.</t>
  </si>
  <si>
    <t> Curling</t>
  </si>
  <si>
    <t> OnLAN</t>
  </si>
  <si>
    <t> Tur til Studenterhytta</t>
  </si>
  <si>
    <t> X-fest</t>
  </si>
  <si>
    <t>8 0000 kr spons</t>
  </si>
  <si>
    <t> Ølsmaking</t>
  </si>
  <si>
    <t>Er planlagt for bare 1 semester</t>
  </si>
  <si>
    <t> Vinsmaking</t>
  </si>
  <si>
    <t> Lazer-tag</t>
  </si>
  <si>
    <t> Åretur</t>
  </si>
  <si>
    <t> Efter-Åre fest</t>
  </si>
  <si>
    <t> Karneval</t>
  </si>
  <si>
    <t> Studielånspils</t>
  </si>
  <si>
    <t> Godtgjørelse til arrangør</t>
  </si>
  <si>
    <t> Transport</t>
  </si>
  <si>
    <t>Ble ikke brukt før 2014-halvår</t>
  </si>
  <si>
    <t> Andre/uforutsette utgifter</t>
  </si>
  <si>
    <t> Sum</t>
  </si>
  <si>
    <t> Resultat </t>
  </si>
  <si>
    <t>Nota 1:</t>
  </si>
  <si>
    <t>Juleverksted ble lagt ut av Thea Kristine Lerfaldet (arrKom) men kvitteringsskjema kom sent og ble ikke betalt tilbake før 3. februar.</t>
  </si>
  <si>
    <t>Står derfor ikke i regnskap 2013.</t>
  </si>
  <si>
    <t>Nota 2:</t>
  </si>
  <si>
    <t>Det skjedde en skade på et håndtak på bussen under blåtur, som ble betalt for som en del av hele summen til busselskapet.</t>
  </si>
  <si>
    <t>Skaden var på 1500 kr, derav 1000 kr av disse er ført opp på Andre/uforutsette utgifter og trukket fra Blåtur posten.</t>
  </si>
  <si>
    <t>Nota 3:</t>
  </si>
  <si>
    <t>Små arrangementer får mye av midlene fra tidligere arranegement.</t>
  </si>
  <si>
    <t>Dette er gjort slik for å gjøre det mer åpent for neste arrKom å besteme hvordan de vil sponse ting</t>
  </si>
  <si>
    <t>eksempler: Lazertag , Juleverksted (500 kr), Studielånspils (1000 kr), Efter-Åre fest (1000 kr) og Curling (2500 kr)</t>
  </si>
  <si>
    <t> Budsjett og regnskap BanKom </t>
  </si>
  <si>
    <t> Nota </t>
  </si>
  <si>
    <t>Budsjett 2012/2013</t>
  </si>
  <si>
    <t>Regnskap    2013</t>
  </si>
  <si>
    <t>Budsjett 2013/2014</t>
  </si>
  <si>
    <t>Regnskap    2013</t>
  </si>
  <si>
    <t>Budsjett 2014/2015</t>
  </si>
  <si>
    <t> Utgifter </t>
  </si>
  <si>
    <t> Rekvisita </t>
  </si>
  <si>
    <t> Teambuilding </t>
  </si>
  <si>
    <t> Bankgebyrer </t>
  </si>
  <si>
    <t> Pizza på arbeidskveld </t>
  </si>
  <si>
    <t> 1) </t>
  </si>
  <si>
    <t> Andre/uforutsette utgifter </t>
  </si>
  <si>
    <t> Sum </t>
  </si>
  <si>
    <t> Resultat </t>
  </si>
  <si>
    <t>Nota</t>
  </si>
  <si>
    <t>Vil gå tilbake til pizza hver gang</t>
  </si>
  <si>
    <t>Budsjett
2012/2013</t>
  </si>
  <si>
    <t>Regnskap
2012</t>
  </si>
  <si>
    <t>Budsjett
2013/2014</t>
  </si>
  <si>
    <t>Regnskap
2013</t>
  </si>
  <si>
    <t>Budsjett
2014/2015</t>
  </si>
  <si>
    <t> Inntekter </t>
  </si>
  <si>
    <t> Bedpres </t>
  </si>
  <si>
    <t>Fjernet moms</t>
  </si>
  <si>
    <t> Bedpres bespisning </t>
  </si>
  <si>
    <t> Hovedsponsor </t>
  </si>
  <si>
    <t>Fjernet moms</t>
  </si>
  <si>
    <t> Sum </t>
  </si>
  <si>
    <t> Utgifter </t>
  </si>
  <si>
    <t> Andre/uforutsette utgifter </t>
  </si>
  <si>
    <t> Utstyr </t>
  </si>
  <si>
    <t>Ble kjøpt inn klikker</t>
  </si>
  <si>
    <t> Bekledning </t>
  </si>
  <si>
    <t> Bespisning </t>
  </si>
  <si>
    <t> Mineralvann </t>
  </si>
  <si>
    <t> Oslotur </t>
  </si>
  <si>
    <t>Noe er tilbakebetaling for Oslo12</t>
  </si>
  <si>
    <t> Plakater, bonger </t>
  </si>
  <si>
    <t> Teambuilding </t>
  </si>
  <si>
    <t> Transport </t>
  </si>
  <si>
    <t> Trykksaker </t>
  </si>
  <si>
    <t>plakater, bonger, rollup, produktark</t>
  </si>
  <si>
    <t> MVA </t>
  </si>
  <si>
    <t>Alt settes på HS</t>
  </si>
  <si>
    <t> Sum </t>
  </si>
  <si>
    <t> Resultat </t>
  </si>
  <si>
    <t>Budsjett og Regnskap for Trikom</t>
  </si>
  <si>
    <t>Nota</t>
  </si>
  <si>
    <t>Budsjett
2012/2013</t>
  </si>
  <si>
    <t>Regnskap
2012</t>
  </si>
  <si>
    <t>Budsjett
2013/2014</t>
  </si>
  <si>
    <t>Regnskap    2013</t>
  </si>
  <si>
    <t>Budsjett 2014/2015</t>
  </si>
  <si>
    <t> Inntekter </t>
  </si>
  <si>
    <t> Renter </t>
  </si>
  <si>
    <t> Salgsinntekter </t>
  </si>
  <si>
    <t>?</t>
  </si>
  <si>
    <t>?</t>
  </si>
  <si>
    <t>Mangel på føring av kasseskrin</t>
  </si>
  <si>
    <t> Brus til FagKom </t>
  </si>
  <si>
    <t> Pant </t>
  </si>
  <si>
    <t> Andre uforutsette inntekter </t>
  </si>
  <si>
    <t> Sum </t>
  </si>
  <si>
    <t> Utgifter </t>
  </si>
  <si>
    <t> Kaffe og te </t>
  </si>
  <si>
    <t> Diverse til kontoret </t>
  </si>
  <si>
    <t>-</t>
  </si>
  <si>
    <t>-</t>
  </si>
  <si>
    <t> Frukt til kontoret</t>
  </si>
  <si>
    <t> Spotifybruker til kontoret</t>
  </si>
  <si>
    <t> Salgsvarer </t>
  </si>
  <si>
    <t> Brus til FagKom</t>
  </si>
  <si>
    <t> Utstyrskjøp </t>
  </si>
  <si>
    <t> Rekvisitta </t>
  </si>
  <si>
    <t> Oppussing </t>
  </si>
  <si>
    <t> Vaffler / kake </t>
  </si>
  <si>
    <t> 17. mai frokost </t>
  </si>
  <si>
    <t> Genfors </t>
  </si>
  <si>
    <t> Teambuilding </t>
  </si>
  <si>
    <t> Andre arrangementer </t>
  </si>
  <si>
    <t> Kjøregodtgjørelse</t>
  </si>
  <si>
    <t> Andre / uforutsette utgifter </t>
  </si>
  <si>
    <t> Sum </t>
  </si>
  <si>
    <t> Resultat </t>
  </si>
  <si>
    <t>Nota 1:</t>
  </si>
  <si>
    <t>Hette ustyrskjøp/kontorsparing i fjor. Da det er motsigende har punktet blitt endret til utstyrskjøp</t>
  </si>
  <si>
    <t> Budsjett og regnskap for dotKom </t>
  </si>
  <si>
    <t> Nota </t>
  </si>
  <si>
    <t>Budsjett
2012/2013</t>
  </si>
  <si>
    <t>Regnskap
2012</t>
  </si>
  <si>
    <t>Budsjett
2013/2014</t>
  </si>
  <si>
    <t>Regnskap    2013</t>
  </si>
  <si>
    <t>Budsjett 2014/2015</t>
  </si>
  <si>
    <t> Inntekter </t>
  </si>
  <si>
    <t> Pizzakonto inn </t>
  </si>
  <si>
    <t> Renter </t>
  </si>
  <si>
    <t> Sum </t>
  </si>
  <si>
    <t> Utgifter </t>
  </si>
  <si>
    <t> Pizzakonto ut </t>
  </si>
  <si>
    <t> Outsourcing </t>
  </si>
  <si>
    <t> Ekspandering </t>
  </si>
  <si>
    <t>Kjøpe disker og utstyr. Rakk ikke alt i fjor, så noe er budsjettert i år</t>
  </si>
  <si>
    <t> Bekledning </t>
  </si>
  <si>
    <t> Teambuilding </t>
  </si>
  <si>
    <t> Andre/uforutsette utgifter </t>
  </si>
  <si>
    <t> Domener </t>
  </si>
  <si>
    <t>1</t>
  </si>
  <si>
    <t> Sum </t>
  </si>
  <si>
    <t> Resultat </t>
  </si>
  <si>
    <t> Notat 1 </t>
  </si>
  <si>
    <t> Nytt fra 2013 </t>
  </si>
  <si>
    <t> Nota </t>
  </si>
  <si>
    <t>Budsjett
2012/2013</t>
  </si>
  <si>
    <t>Regnskap
2012</t>
  </si>
  <si>
    <t>Budsjett
2013/2014</t>
  </si>
  <si>
    <t>Regnskap    2013</t>
  </si>
  <si>
    <t>Budsjett 2014/2015</t>
  </si>
  <si>
    <t> Inntekter </t>
  </si>
  <si>
    <t> Administrasjonsgebyr kurs </t>
  </si>
  <si>
    <t> Innbetaling bespisning kurs </t>
  </si>
  <si>
    <t> Administrasjonsgebyr bedpres </t>
  </si>
  <si>
    <t> 1</t>
  </si>
  <si>
    <t> Internoverføring </t>
  </si>
  <si>
    <t> Renter </t>
  </si>
  <si>
    <t> Annen/uforutsett inntekt </t>
  </si>
  <si>
    <t> MVA </t>
  </si>
  <si>
    <t> Sum </t>
  </si>
  <si>
    <t> Utgifter </t>
  </si>
  <si>
    <t> MVA </t>
  </si>
  <si>
    <t> Rekvisita </t>
  </si>
  <si>
    <t> Trykksaker </t>
  </si>
  <si>
    <t> Gaver til kursholdere </t>
  </si>
  <si>
    <t> Bekledning </t>
  </si>
  <si>
    <t> Teambuilding </t>
  </si>
  <si>
    <t> Bespisning kurs </t>
  </si>
  <si>
    <t> Transport </t>
  </si>
  <si>
    <t>2</t>
  </si>
  <si>
    <t> Internoverføring </t>
  </si>
  <si>
    <t> Andre/uforutsette utgifter </t>
  </si>
  <si>
    <t> Oslotur til bedrifter </t>
  </si>
  <si>
    <t> Nye prosjekt/arrangement </t>
  </si>
  <si>
    <t>3</t>
  </si>
  <si>
    <t> Drikke til kurs, internoverføring </t>
  </si>
  <si>
    <t>4</t>
  </si>
  <si>
    <t> Sum </t>
  </si>
  <si>
    <t> Resultat </t>
  </si>
  <si>
    <t>Nota 1:</t>
  </si>
  <si>
    <t>Feiloverføring av bedpresgebyr, korrigert ved internoverføring.</t>
  </si>
  <si>
    <t>Nota 2:</t>
  </si>
  <si>
    <t>Utgiftene 2013 inkluderer også transport til andre arrangementer til arrkom/bedkom</t>
  </si>
  <si>
    <t>Nota 3:</t>
  </si>
  <si>
    <t>Ny post, skal brukes til nye faglige arrangementer</t>
  </si>
  <si>
    <t>Nota 4:</t>
  </si>
  <si>
    <t>Ny post for året, trikom står nå for innkjøp av brus, får innbetaling fra bedrifter som bespisning, nullprosjekt</t>
  </si>
  <si>
    <t> Prokom regnskap og budsjett </t>
  </si>
  <si>
    <t> Nota </t>
  </si>
  <si>
    <t>Budsjett
2012/2013</t>
  </si>
  <si>
    <t>Regnskap
2012</t>
  </si>
  <si>
    <t>Budsjett
2013/2014</t>
  </si>
  <si>
    <t>Regnskap
2012</t>
  </si>
  <si>
    <t>Budsjett
2014/2015</t>
  </si>
  <si>
    <t> Inntekter </t>
  </si>
  <si>
    <t> Onlinegenser </t>
  </si>
  <si>
    <t> Årbok </t>
  </si>
  <si>
    <t> 6) </t>
  </si>
  <si>
    <t> Åregensere </t>
  </si>
  <si>
    <t> Offlineinntekter </t>
  </si>
  <si>
    <t> 7) </t>
  </si>
  <si>
    <t> Abonnement </t>
  </si>
  <si>
    <t> Støtte fra SiT </t>
  </si>
  <si>
    <t> Komitédaljer </t>
  </si>
  <si>
    <t> Andre/uforutsette inntekter </t>
  </si>
  <si>
    <t>Dalje</t>
  </si>
  <si>
    <t> Renter </t>
  </si>
  <si>
    <t> Sum </t>
  </si>
  <si>
    <t> Utgifter </t>
  </si>
  <si>
    <t> Onlinegenser </t>
  </si>
  <si>
    <t> Årbok </t>
  </si>
  <si>
    <t> 6) </t>
  </si>
  <si>
    <t>Ble ikke betalt i 2013, 5844,- var pris</t>
  </si>
  <si>
    <t> Medaljer og pins </t>
  </si>
  <si>
    <t>Pins og Lang-og-Tro-daljer</t>
  </si>
  <si>
    <t> Offline </t>
  </si>
  <si>
    <t> 1) </t>
  </si>
  <si>
    <t> Åregensere </t>
  </si>
  <si>
    <t> utstyr proKom </t>
  </si>
  <si>
    <t> 5) </t>
  </si>
  <si>
    <t> Teambuilding </t>
  </si>
  <si>
    <t> 3) </t>
  </si>
  <si>
    <t> Andre/uforutsette utgifter </t>
  </si>
  <si>
    <t> 4) </t>
  </si>
  <si>
    <t> Reise/Transport </t>
  </si>
  <si>
    <t> Sum </t>
  </si>
  <si>
    <t> Resultat </t>
  </si>
  <si>
    <t> Nota 1: </t>
  </si>
  <si>
    <t> b) Alt overskudd vil gå til å øke opplaget </t>
  </si>
  <si>
    <t> r) Prokom la ut for to samlefakturaer og fikk tilbake gjennom internoverføringer. 26775 er for Offline#3 (jublieeumsutgaven) som kom i 2011. </t>
  </si>
  <si>
    <t> Nota 2: </t>
  </si>
  <si>
    <t> Se eget excelark </t>
  </si>
  <si>
    <t> Nota 3: </t>
  </si>
  <si>
    <t> 900kr fra teambuilding 2011 </t>
  </si>
  <si>
    <t> Nota 4: </t>
  </si>
  <si>
    <t> Prokom (Ada) betalte samtlige plakater på fakturanr 236615 fra proKom-kontoen </t>
  </si>
  <si>
    <t> Nota 5: </t>
  </si>
  <si>
    <t> Rammer og kamera </t>
  </si>
  <si>
    <t> Nota 6: </t>
  </si>
  <si>
    <t> Dette er et overslag, men et beløp som skal gå i null </t>
  </si>
  <si>
    <t> Nota 7: </t>
  </si>
  <si>
    <t> Manglende fakturering i 2013, fikk inn beløpet i januar 2014 </t>
  </si>
  <si>
    <t> Budsjett 2012/2013 </t>
  </si>
  <si>
    <t> Regnskap 12 </t>
  </si>
  <si>
    <t> Budsjett 2013/2014 </t>
  </si>
  <si>
    <t>Regnskap 2013</t>
  </si>
  <si>
    <t>Budsjett 2014/2015</t>
  </si>
  <si>
    <t> Inntekter </t>
  </si>
  <si>
    <t> Støtte </t>
  </si>
  <si>
    <t> Sponsor </t>
  </si>
  <si>
    <t> Innbetaling bedpres bespisning </t>
  </si>
  <si>
    <t> Renter </t>
  </si>
  <si>
    <t> Sum </t>
  </si>
  <si>
    <t> Utgifter </t>
  </si>
  <si>
    <t> Merverdiavgift </t>
  </si>
  <si>
    <t> Rekvisita </t>
  </si>
  <si>
    <t> Trykksaker </t>
  </si>
  <si>
    <t> Premier </t>
  </si>
  <si>
    <t> Bekledning </t>
  </si>
  <si>
    <t> Teambuilding </t>
  </si>
  <si>
    <t> Arrangementer </t>
  </si>
  <si>
    <t> Immball </t>
  </si>
  <si>
    <t> Bespisning </t>
  </si>
  <si>
    <t> Fadder-kickoff </t>
  </si>
  <si>
    <t> Transport </t>
  </si>
  <si>
    <t> Andre/uforutsette utgifter </t>
  </si>
  <si>
    <t> Leie av utstyr </t>
  </si>
  <si>
    <t> Opptak </t>
  </si>
  <si>
    <t> Sum </t>
  </si>
  <si>
    <t> Resultat </t>
  </si>
  <si>
    <t>Budsjett 13/14</t>
  </si>
  <si>
    <t>Regnskap 13</t>
  </si>
  <si>
    <t>Budsjett 14/15</t>
  </si>
  <si>
    <t>Differanse, budsjett</t>
  </si>
  <si>
    <t> arrKom </t>
  </si>
  <si>
    <t> banKom </t>
  </si>
  <si>
    <t>Økt pizza og bankgebyr</t>
  </si>
  <si>
    <t> bedKom </t>
  </si>
  <si>
    <t>1)</t>
  </si>
  <si>
    <t> dotKom </t>
  </si>
  <si>
    <t> fagKom </t>
  </si>
  <si>
    <t>2)</t>
  </si>
  <si>
    <t> Hovedstyret </t>
  </si>
  <si>
    <t>fjernet noe rep-støtte, bekledning og bankgebyr</t>
  </si>
  <si>
    <t> proKom </t>
  </si>
  <si>
    <t> triKom </t>
  </si>
  <si>
    <t> velKom </t>
  </si>
  <si>
    <t>Reultat</t>
  </si>
  <si>
    <t>Nota</t>
  </si>
  <si>
    <t>1)</t>
  </si>
  <si>
    <t>Generell vekst på bedpres-gebyr og HSP</t>
  </si>
  <si>
    <t>2)</t>
  </si>
  <si>
    <t>Lagt inn både fjorårets og årets prisøkning mellom disse budsjettene</t>
  </si>
  <si>
    <t>Regnskap 12</t>
  </si>
  <si>
    <t>Regnskap 13</t>
  </si>
  <si>
    <t>Diff</t>
  </si>
  <si>
    <t> arrKom </t>
  </si>
  <si>
    <t> banKom </t>
  </si>
  <si>
    <t>Økt pizza og bankgebyr</t>
  </si>
  <si>
    <t> bedKom </t>
  </si>
  <si>
    <t>3)</t>
  </si>
  <si>
    <t> dotKom </t>
  </si>
  <si>
    <t> fagKom </t>
  </si>
  <si>
    <t>2)</t>
  </si>
  <si>
    <t> Hovedstyret </t>
  </si>
  <si>
    <t>fjernet noe rep-støtte, bekledning og bankgebyr</t>
  </si>
  <si>
    <t> proKom </t>
  </si>
  <si>
    <t> triKom </t>
  </si>
  <si>
    <t> velKom </t>
  </si>
  <si>
    <t>Reultat</t>
  </si>
  <si>
    <t>Nota</t>
  </si>
  <si>
    <t>1)</t>
  </si>
  <si>
    <t>Stor forskjell på utgift hos mange pga fjernet beklednings-budsjett</t>
  </si>
  <si>
    <t>2)</t>
  </si>
  <si>
    <t>Lagt inn både fjorårets og årets prisøkning mellom disse budsjettene</t>
  </si>
  <si>
    <t>3)</t>
  </si>
  <si>
    <t>Generell vekst på bedpresgebyr og HSP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</si>
</sst>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71">
    <numFmt numFmtId="164" formatCode="_(* #,##0.00_);_(* \(#,##0.00\);_(* &quot;-&quot;??_);_(@_)"/>
    <numFmt numFmtId="165" formatCode="_(* #,##0.00_);_(* \(#,##0.00\);_(* &quot;-&quot;??_);_(@_)"/>
    <numFmt numFmtId="166" formatCode="_(* #,##0.00_);_(* \(#,##0.00\);_(* &quot;-&quot;??_);_(@_)"/>
    <numFmt numFmtId="167" formatCode="_(* #,##0.00_);_(* \(#,##0.00\);_(* &quot;-&quot;??_);_(@_)"/>
    <numFmt numFmtId="168" formatCode="_(* #,##0.00_);_(* \(#,##0.00\);_(* &quot;-&quot;??_);_(@_)"/>
    <numFmt numFmtId="169" formatCode="_(* #,##0.00_);_(* \(#,##0.00\);_(* &quot;-&quot;??_);_(@_)"/>
    <numFmt numFmtId="170" formatCode="_(* #,##0.00_);_(* \(#,##0.00\);_(* &quot;-&quot;??_);_(@_)"/>
    <numFmt numFmtId="171" formatCode="_(* #,##0.00_);_(* \(#,##0.00\);_(* &quot;-&quot;??_);_(@_)"/>
    <numFmt numFmtId="172" formatCode="_(* #,##0.00_);_(* \(#,##0.00\);_(* &quot;-&quot;??_);_(@_)"/>
    <numFmt numFmtId="173" formatCode="_(* #,##0.00_);_(* \(#,##0.00\);_(* &quot;-&quot;??_);_(@_)"/>
    <numFmt numFmtId="174" formatCode="_(* #,##0.00_);_(* \(#,##0.00\);_(* &quot;-&quot;??_);_(@_)"/>
    <numFmt numFmtId="175" formatCode="_(* #,##0.00_);_(* \(#,##0.00\);_(* &quot;-&quot;??_);_(@_)"/>
    <numFmt numFmtId="176" formatCode="_(* #,##0.00_);_(* \(#,##0.00\);_(* &quot;-&quot;??_);_(@_)"/>
    <numFmt numFmtId="177" formatCode="_(* #,##0.00_);_(* \(#,##0.00\);_(* &quot;-&quot;??_);_(@_)"/>
    <numFmt numFmtId="178" formatCode="_(* #,##0.00_);_(* \(#,##0.00\);_(* &quot;-&quot;??_);_(@_)"/>
    <numFmt numFmtId="179" formatCode="_(* #,##0.00_);_(* \(#,##0.00\);_(* &quot;-&quot;??_);_(@_)"/>
    <numFmt numFmtId="180" formatCode="_(* #,##0.00_);_(* \(#,##0.00\);_(* &quot;-&quot;??_);_(@_)"/>
    <numFmt numFmtId="181" formatCode="_(* #,##0.00_);_(* \(#,##0.00\);_(* &quot;-&quot;??_);_(@_)"/>
    <numFmt numFmtId="182" formatCode="_(* #,##0.00_);_(* \(#,##0.00\);_(* &quot;-&quot;??_);_(@_)"/>
    <numFmt numFmtId="183" formatCode="_(* #,##0.00_);_(* \(#,##0.00\);_(* &quot;-&quot;??_);_(@_)"/>
    <numFmt numFmtId="184" formatCode="_-* #,##0.00_-;\-* #,##0.00_-;_-* \-??_-;_-@"/>
    <numFmt numFmtId="185" formatCode="_-* #,##0.00_-;\-* #,##0.00_-;_-* \-??_-;_-@"/>
    <numFmt numFmtId="186" formatCode="_-* #,##0.00_-;\-* #,##0.00_-;_-* \-??_-;_-@"/>
    <numFmt numFmtId="187" formatCode="_-* #,##0.00_-;\-* #,##0.00_-;_-* \-??_-;_-@"/>
    <numFmt numFmtId="188" formatCode="_-* #,##0.00_-;\-* #,##0.00_-;_-* \-??_-;_-@"/>
    <numFmt numFmtId="189" formatCode="_-* #,##0.00_-;\-* #,##0.00_-;_-* \-??_-;_-@"/>
    <numFmt numFmtId="190" formatCode="_-* #,##0.00_-;\-* #,##0.00_-;_-* \-??_-;_-@"/>
    <numFmt numFmtId="191" formatCode="_-* #,##0.00_-;\-* #,##0.00_-;_-* \-??_-;_-@"/>
    <numFmt numFmtId="192" formatCode="_-* #,##0.00_-;\-* #,##0.00_-;_-* \-??_-;_-@"/>
    <numFmt numFmtId="193" formatCode="_-* #,##0.00_-;\-* #,##0.00_-;_-* \-??_-;_-@"/>
    <numFmt numFmtId="194" formatCode="_-* #,##0.00_-;\-* #,##0.00_-;_-* \-??_-;_-@"/>
    <numFmt numFmtId="195" formatCode="_-* #,##0.00_-;\-* #,##0.00_-;_-* \-??_-;_-@"/>
    <numFmt numFmtId="196" formatCode="_-* #,##0.00_-;\-* #,##0.00_-;_-* \-??_-;_-@"/>
    <numFmt numFmtId="197" formatCode="_(* #,##0.00_);_(* \(#,##0.00\);_(* &quot;-&quot;??_);_(@_)"/>
    <numFmt numFmtId="198" formatCode="_(* #,##0.00_);_(* \(#,##0.00\);_(* &quot;-&quot;??_);_(@_)"/>
    <numFmt numFmtId="199" formatCode="_(* #,##0.00_);_(* \(#,##0.00\);_(* &quot;-&quot;??_);_(@_)"/>
    <numFmt numFmtId="200" formatCode="_(* #,##0.00_);_(* \(#,##0.00\);_(* &quot;-&quot;??_);_(@_)"/>
    <numFmt numFmtId="201" formatCode="_(* #,##0.00_);_(* \(#,##0.00\);_(* &quot;-&quot;??_);_(@_)"/>
    <numFmt numFmtId="202" formatCode="_(* #,##0.00_);_(* \(#,##0.00\);_(* &quot;-&quot;??_);_(@_)"/>
    <numFmt numFmtId="203" formatCode="_(* #,##0.00_);_(* \(#,##0.00\);_(* &quot;-&quot;??_);_(@_)"/>
    <numFmt numFmtId="204" formatCode="_(* #,##0.00_);_(* \(#,##0.00\);_(* &quot;-&quot;??_);_(@_)"/>
    <numFmt numFmtId="205" formatCode="_(* #,##0.00_);_(* \(#,##0.00\);_(* &quot;-&quot;??_);_(@_)"/>
    <numFmt numFmtId="206" formatCode="_(* #,##0.00_);_(* \(#,##0.00\);_(* &quot;-&quot;??_);_(@_)"/>
    <numFmt numFmtId="207" formatCode="_(* #,##0.00_);_(* \(#,##0.00\);_(* &quot;-&quot;??_);_(@_)"/>
    <numFmt numFmtId="208" formatCode="_(* #,##0.00_);_(* \(#,##0.00\);_(* &quot;-&quot;??_);_(@_)"/>
    <numFmt numFmtId="209" formatCode="_(* #,##0.00_);_(* \(#,##0.00\);_(* &quot;-&quot;??_);_(@_)"/>
    <numFmt numFmtId="210" formatCode="_(* #,##0.00_);_(* \(#,##0.00\);_(* &quot;-&quot;??_);_(@_)"/>
    <numFmt numFmtId="211" formatCode="_(* #,##0.00_);_(* \(#,##0.00\);_(* &quot;-&quot;??_);_(@_)"/>
    <numFmt numFmtId="212" formatCode="_(* #,##0.00_);_(* \(#,##0.00\);_(* &quot;-&quot;??_);_(@_)"/>
    <numFmt numFmtId="213" formatCode="_(* #,##0.00_);_(* \(#,##0.00\);_(* &quot;-&quot;??_);_(@_)"/>
    <numFmt numFmtId="214" formatCode="_(* #,##0.00_);_(* \(#,##0.00\);_(* &quot;-&quot;??_);_(@_)"/>
    <numFmt numFmtId="215" formatCode="_(* #,##0.00_);_(* \(#,##0.00\);_(* &quot;-&quot;??_);_(@_)"/>
    <numFmt numFmtId="216" formatCode="_(* #,##0.00_);_(* \(#,##0.00\);_(* &quot;-&quot;??_);_(@_)"/>
    <numFmt numFmtId="217" formatCode="_(* #,##0.00_);_(* \(#,##0.00\);_(* &quot;-&quot;??_);_(@_)"/>
    <numFmt numFmtId="218" formatCode="_(* #,##0.00_);_(* \(#,##0.00\);_(* &quot;-&quot;??_);_(@_)"/>
    <numFmt numFmtId="219" formatCode="_(* #,##0.00_);_(* \(#,##0.00\);_(* &quot;-&quot;??_);_(@_)"/>
    <numFmt numFmtId="220" formatCode="_(* #,##0.00_);_(* \(#,##0.00\);_(* &quot;-&quot;??_);_(@_)"/>
    <numFmt numFmtId="221" formatCode="_(* #,##0.00_);_(* \(#,##0.00\);_(* &quot;-&quot;??_);_(@_)"/>
    <numFmt numFmtId="222" formatCode="_(* #,##0.00_);_(* \(#,##0.00\);_(* &quot;-&quot;??_);_(@_)"/>
    <numFmt numFmtId="223" formatCode="_(* #,##0.00_);_(* \(#,##0.00\);_(* &quot;-&quot;??_);_(@_)"/>
    <numFmt numFmtId="224" formatCode="_(* #,##0.00_);_(* \(#,##0.00\);_(* &quot;-&quot;??_);_(@_)"/>
    <numFmt numFmtId="225" formatCode="_(* #,##0.00_);_(* \(#,##0.00\);_(* &quot;-&quot;??_);_(@_)"/>
    <numFmt numFmtId="226" formatCode="_(* #,##0.00_);_(* \(#,##0.00\);_(* &quot;-&quot;??_);_(@_)"/>
    <numFmt numFmtId="227" formatCode="_(* #,##0.00_);_(* \(#,##0.00\);_(* &quot;-&quot;??_);_(@_)"/>
    <numFmt numFmtId="228" formatCode="_(* #,##0.00_);_(* \(#,##0.00\);_(* &quot;-&quot;??_);_(@_)"/>
    <numFmt numFmtId="229" formatCode="_(* #,##0.00_);_(* \(#,##0.00\);_(* &quot;-&quot;??_);_(@_)"/>
    <numFmt numFmtId="230" formatCode="_(* #,##0.00_);_(* \(#,##0.00\);_(* &quot;-&quot;??_);_(@_)"/>
    <numFmt numFmtId="231" formatCode="_(* #,##0.00_);_(* \(#,##0.00\);_(* &quot;-&quot;??_);_(@_)"/>
    <numFmt numFmtId="232" formatCode="_(* #,##0.00_);_(* \(#,##0.00\);_(* &quot;-&quot;??_);_(@_)"/>
    <numFmt numFmtId="233" formatCode="_(* #,##0.00_);_(* \(#,##0.00\);_(* &quot;-&quot;??_);_(@_)"/>
    <numFmt numFmtId="234" formatCode="_(* #,##0.00_);_(* \(#,##0.00\);_(* &quot;-&quot;??_);_(@_)"/>
  </numFmts>
  <fonts count="327">
    <font>
      <sz val="10.0"/>
      <name val="Arial"/>
    </font>
    <font>
      <sz val="10.0"/>
    </font>
    <font>
      <sz val="14.0"/>
    </font>
    <font>
      <sz val="10.0"/>
    </font>
    <font>
      <b/>
      <sz val="10.0"/>
    </font>
    <font>
      <b/>
      <color rgb="FF000000"/>
    </font>
    <font>
      <b/>
    </font>
    <font>
      <b/>
      <color rgb="FF000000"/>
    </font>
    <font>
      <b/>
    </font>
    <font>
      <b/>
    </font>
    <font>
      <b/>
      <sz val="10.0"/>
    </font>
    <font>
      <sz val="10.0"/>
    </font>
    <font>
      <sz val="10.0"/>
      <color rgb="FF000000"/>
    </font>
    <font>
      <sz val="10.0"/>
    </font>
    <font>
      <sz val="10.0"/>
      <color rgb="FF000000"/>
    </font>
    <font/>
    <font/>
    <font/>
    <font>
      <color rgb="FF000000"/>
    </font>
    <font/>
    <font>
      <color rgb="FF000000"/>
    </font>
    <font>
      <sz val="10.0"/>
    </font>
    <font/>
    <font/>
    <font/>
    <font>
      <color rgb="FF000000"/>
    </font>
    <font>
      <color rgb="FF000000"/>
    </font>
    <font/>
    <font/>
    <font>
      <b/>
      <sz val="10.0"/>
    </font>
    <font>
      <sz val="10.0"/>
    </font>
    <font>
      <color rgb="FF000000"/>
    </font>
    <font/>
    <font>
      <color rgb="FF000000"/>
    </font>
    <font/>
    <font/>
    <font>
      <sz val="10.0"/>
      <color rgb="FF000000"/>
    </font>
    <font>
      <sz val="10.0"/>
    </font>
    <font/>
    <font>
      <b/>
      <sz val="10.0"/>
    </font>
    <font>
      <sz val="10.0"/>
    </font>
    <font/>
    <font/>
    <font/>
    <font/>
    <font>
      <sz val="10.0"/>
    </font>
    <font>
      <sz val="10.0"/>
    </font>
    <font>
      <color rgb="FF000000"/>
    </font>
    <font/>
    <font>
      <color rgb="FF000000"/>
    </font>
    <font/>
    <font>
      <sz val="10.0"/>
    </font>
    <font>
      <color rgb="FF000000"/>
    </font>
    <font/>
    <font>
      <color rgb="FF000000"/>
    </font>
    <font>
      <b/>
      <sz val="10.0"/>
    </font>
    <font>
      <sz val="10.0"/>
    </font>
    <font/>
    <font>
      <b/>
    </font>
    <font>
      <sz val="10.0"/>
    </font>
    <font>
      <b/>
    </font>
    <font/>
    <font>
      <sz val="10.0"/>
    </font>
    <font>
      <sz val="10.0"/>
    </font>
    <font>
      <b/>
      <sz val="10.0"/>
    </font>
    <font>
      <sz val="10.0"/>
    </font>
    <font>
      <b/>
      <color rgb="FF000000"/>
    </font>
    <font>
      <b/>
      <color rgb="FF000000"/>
    </font>
    <font>
      <b/>
      <color rgb="FF000000"/>
    </font>
    <font>
      <b/>
      <sz val="10.0"/>
    </font>
    <font>
      <b/>
    </font>
    <font>
      <b/>
      <sz val="10.0"/>
    </font>
    <font>
      <b/>
      <sz val="10.0"/>
    </font>
    <font>
      <b/>
      <sz val="10.0"/>
    </font>
    <font>
      <b/>
      <sz val="10.0"/>
    </font>
    <font>
      <sz val="10.0"/>
      <color rgb="FF000000"/>
    </font>
    <font>
      <sz val="10.0"/>
      <color rgb="FF000000"/>
    </font>
    <font>
      <sz val="10.0"/>
      <color rgb="FF000000"/>
    </font>
    <font/>
    <font>
      <sz val="10.0"/>
    </font>
    <font>
      <sz val="10.0"/>
    </font>
    <font>
      <sz val="10.0"/>
    </font>
    <font>
      <sz val="10.0"/>
    </font>
    <font>
      <sz val="10.0"/>
    </font>
    <font>
      <sz val="10.0"/>
    </font>
    <font>
      <color rgb="FF000000"/>
    </font>
    <font>
      <sz val="10.0"/>
    </font>
    <font>
      <sz val="10.0"/>
    </font>
    <font>
      <b/>
    </font>
    <font>
      <b/>
      <sz val="10.0"/>
    </font>
    <font>
      <i/>
      <sz val="10.0"/>
    </font>
    <font>
      <b/>
      <sz val="10.0"/>
    </font>
    <font>
      <sz val="10.0"/>
    </font>
    <font>
      <i/>
      <sz val="10.0"/>
    </font>
    <font/>
    <font/>
    <font>
      <sz val="10.0"/>
    </font>
    <font/>
    <font>
      <sz val="10.0"/>
    </font>
    <font/>
    <font/>
    <font>
      <sz val="10.0"/>
    </font>
    <font>
      <color rgb="FF000000"/>
    </font>
    <font>
      <sz val="10.0"/>
    </font>
    <font>
      <b/>
      <sz val="10.0"/>
    </font>
    <font>
      <b/>
      <sz val="10.0"/>
    </font>
    <font>
      <color rgb="FF000000"/>
    </font>
    <font/>
    <font>
      <sz val="10.0"/>
    </font>
    <font>
      <sz val="10.0"/>
      <color rgb="FF000000"/>
    </font>
    <font>
      <b/>
      <color rgb="FF000000"/>
    </font>
    <font>
      <b/>
      <sz val="10.0"/>
    </font>
    <font>
      <b/>
    </font>
    <font>
      <sz val="10.0"/>
    </font>
    <font>
      <sz val="10.0"/>
    </font>
    <font>
      <sz val="10.0"/>
    </font>
    <font>
      <sz val="10.0"/>
    </font>
    <font>
      <sz val="10.0"/>
    </font>
    <font>
      <sz val="10.0"/>
    </font>
    <font>
      <sz val="10.0"/>
    </font>
    <font>
      <b/>
      <sz val="10.0"/>
    </font>
    <font>
      <b/>
      <sz val="10.0"/>
    </font>
    <font>
      <color rgb="FF000000"/>
    </font>
    <font>
      <color rgb="FF000000"/>
    </font>
    <font/>
    <font>
      <sz val="10.0"/>
    </font>
    <font>
      <sz val="10.0"/>
    </font>
    <font>
      <sz val="10.0"/>
    </font>
    <font>
      <sz val="10.0"/>
    </font>
    <font>
      <sz val="10.0"/>
    </font>
    <font>
      <b/>
      <sz val="11.0"/>
    </font>
    <font>
      <b/>
      <sz val="11.0"/>
    </font>
    <font>
      <color rgb="FF000000"/>
    </font>
    <font>
      <sz val="10.0"/>
    </font>
    <font>
      <sz val="10.0"/>
    </font>
    <font>
      <b/>
    </font>
    <font>
      <b/>
      <sz val="14.0"/>
    </font>
    <font>
      <sz val="10.0"/>
    </font>
    <font>
      <b/>
    </font>
    <font>
      <b/>
    </font>
    <font>
      <b/>
      <sz val="10.0"/>
    </font>
    <font>
      <color rgb="FF000000"/>
    </font>
    <font>
      <color rgb="FF000000"/>
    </font>
    <font>
      <sz val="10.0"/>
    </font>
    <font>
      <color rgb="FF000000"/>
    </font>
    <font>
      <color rgb="FF000000"/>
    </font>
    <font/>
    <font/>
    <font>
      <sz val="10.0"/>
    </font>
    <font>
      <color rgb="FF000000"/>
    </font>
    <font>
      <color rgb="FF000000"/>
    </font>
    <font>
      <b/>
      <sz val="10.0"/>
    </font>
    <font/>
    <font>
      <sz val="10.0"/>
      <color rgb="FF000000"/>
    </font>
    <font>
      <b/>
    </font>
    <font>
      <b/>
    </font>
    <font>
      <color rgb="FF000000"/>
    </font>
    <font>
      <b/>
      <color rgb="FF000000"/>
    </font>
    <font>
      <b/>
    </font>
    <font>
      <b/>
      <color rgb="FF000000"/>
    </font>
    <font>
      <b/>
    </font>
    <font>
      <b/>
      <sz val="10.0"/>
    </font>
    <font>
      <sz val="10.0"/>
      <color rgb="FF000000"/>
    </font>
    <font>
      <sz val="10.0"/>
      <color rgb="FF000000"/>
    </font>
    <font>
      <color rgb="FF000000"/>
    </font>
    <font>
      <sz val="10.0"/>
    </font>
    <font>
      <color rgb="FF000000"/>
    </font>
    <font>
      <color rgb="FF000000"/>
    </font>
    <font>
      <sz val="10.0"/>
      <color rgb="FF000000"/>
    </font>
    <font>
      <sz val="10.0"/>
      <color rgb="FF000000"/>
    </font>
    <font>
      <sz val="10.0"/>
    </font>
    <font>
      <color rgb="FF000000"/>
    </font>
    <font>
      <color rgb="FF000000"/>
    </font>
    <font>
      <b/>
      <sz val="10.0"/>
    </font>
    <font>
      <color rgb="FF000000"/>
    </font>
    <font>
      <sz val="10.0"/>
      <color rgb="FF000000"/>
    </font>
    <font>
      <color rgb="FF000000"/>
    </font>
    <font>
      <b/>
      <sz val="10.0"/>
    </font>
    <font>
      <color rgb="FF000000"/>
    </font>
    <font>
      <color rgb="FF000000"/>
    </font>
    <font>
      <sz val="10.0"/>
    </font>
    <font>
      <color rgb="FF000000"/>
    </font>
    <font>
      <color rgb="FF000000"/>
    </font>
    <font>
      <color rgb="FF000000"/>
    </font>
    <font>
      <color rgb="FF000000"/>
    </font>
    <font>
      <color rgb="FF000000"/>
    </font>
    <font>
      <b/>
      <sz val="18.0"/>
    </font>
    <font>
      <b/>
      <sz val="10.0"/>
    </font>
    <font>
      <b/>
    </font>
    <font/>
    <font/>
    <font/>
    <font/>
    <font/>
    <font/>
    <font>
      <sz val="10.0"/>
    </font>
    <font>
      <sz val="10.0"/>
      <color rgb="FF000000"/>
    </font>
    <font>
      <sz val="10.0"/>
    </font>
    <font/>
    <font>
      <color rgb="FF000000"/>
    </font>
    <font>
      <color rgb="FF000000"/>
    </font>
    <font>
      <b/>
      <sz val="10.0"/>
    </font>
    <font>
      <color rgb="FF000000"/>
    </font>
    <font>
      <sz val="10.0"/>
    </font>
    <font>
      <color rgb="FF000000"/>
    </font>
    <font/>
    <font>
      <color rgb="FF000000"/>
    </font>
    <font/>
    <font/>
    <font>
      <sz val="10.0"/>
    </font>
    <font>
      <sz val="10.0"/>
    </font>
    <font>
      <color rgb="FF000000"/>
    </font>
    <font/>
    <font/>
    <font/>
    <font/>
    <font/>
    <font>
      <sz val="10.0"/>
    </font>
    <font>
      <sz val="10.0"/>
    </font>
    <font>
      <color rgb="FF000000"/>
    </font>
    <font/>
    <font>
      <sz val="10.0"/>
    </font>
    <font/>
    <font/>
    <font>
      <color rgb="FF000000"/>
    </font>
    <font/>
    <font/>
    <font>
      <b/>
      <sz val="10.0"/>
    </font>
    <font>
      <sz val="10.0"/>
    </font>
    <font/>
    <font>
      <b/>
      <sz val="10.0"/>
    </font>
    <font>
      <sz val="10.0"/>
    </font>
    <font>
      <sz val="10.0"/>
    </font>
    <font>
      <sz val="10.0"/>
    </font>
    <font>
      <color rgb="FF000000"/>
    </font>
    <font/>
    <font>
      <color rgb="FF000000"/>
    </font>
    <font>
      <sz val="14.0"/>
    </font>
    <font>
      <b/>
      <color rgb="FF000000"/>
    </font>
    <font>
      <b/>
      <color rgb="FF000000"/>
    </font>
    <font>
      <b/>
      <color rgb="FF000000"/>
    </font>
    <font>
      <sz val="10.0"/>
      <color rgb="FF000000"/>
    </font>
    <font>
      <sz val="10.0"/>
      <color rgb="FF000000"/>
    </font>
    <font>
      <sz val="10.0"/>
      <color rgb="FF000000"/>
    </font>
    <font/>
    <font/>
    <font>
      <color rgb="FF000000"/>
    </font>
    <font>
      <color rgb="FF000000"/>
    </font>
    <font/>
    <font/>
    <font>
      <sz val="10.0"/>
    </font>
    <font>
      <sz val="10.0"/>
    </font>
    <font>
      <color rgb="FF000000"/>
    </font>
    <font>
      <sz val="10.0"/>
      <color rgb="FF000000"/>
    </font>
    <font>
      <color rgb="FF000000"/>
    </font>
    <font/>
    <font>
      <sz val="10.0"/>
      <color rgb="FF000000"/>
    </font>
    <font/>
    <font/>
    <font/>
    <font/>
    <font/>
    <font/>
    <font>
      <color rgb="FF000000"/>
    </font>
    <font/>
    <font/>
    <font>
      <b/>
      <color rgb="FF000000"/>
    </font>
    <font>
      <b/>
      <color rgb="FF000000"/>
    </font>
    <font>
      <b/>
    </font>
    <font/>
    <font/>
    <font/>
    <font>
      <sz val="10.0"/>
    </font>
    <font>
      <color rgb="FF000000"/>
    </font>
    <font/>
    <font/>
    <font>
      <b/>
      <sz val="10.0"/>
    </font>
    <font/>
    <font/>
    <font>
      <sz val="10.0"/>
      <color rgb="FF000000"/>
    </font>
    <font>
      <sz val="10.0"/>
      <color rgb="FF000000"/>
    </font>
    <font>
      <sz val="10.0"/>
      <color rgb="FF000000"/>
    </font>
    <font/>
    <font/>
    <font/>
    <font>
      <b/>
      <sz val="10.0"/>
    </font>
    <font/>
    <font>
      <sz val="10.0"/>
    </font>
    <font/>
    <font>
      <sz val="10.0"/>
    </font>
    <font>
      <i/>
    </font>
    <font>
      <i/>
    </font>
    <font>
      <i/>
    </font>
    <font>
      <b/>
      <sz val="10.0"/>
    </font>
    <font>
      <color rgb="FF000000"/>
    </font>
    <font>
      <i/>
      <sz val="10.0"/>
      <color rgb="FF000000"/>
    </font>
    <font>
      <sz val="10.0"/>
      <color rgb="FF000000"/>
    </font>
    <font>
      <i/>
      <sz val="10.0"/>
      <color rgb="FF000000"/>
    </font>
    <font>
      <i/>
      <sz val="10.0"/>
      <color rgb="FF000000"/>
    </font>
    <font>
      <b/>
      <sz val="10.0"/>
    </font>
    <font>
      <color rgb="FF000000"/>
    </font>
    <font>
      <i/>
      <sz val="10.0"/>
      <color rgb="FF000000"/>
    </font>
    <font>
      <sz val="10.0"/>
      <color rgb="FF000000"/>
    </font>
    <font>
      <i/>
      <sz val="10.0"/>
      <color rgb="FF000000"/>
    </font>
    <font>
      <i/>
      <sz val="10.0"/>
      <color rgb="FF000000"/>
    </font>
    <font>
      <color rgb="FF000000"/>
    </font>
    <font>
      <i/>
      <sz val="10.0"/>
      <color rgb="FF000000"/>
    </font>
    <font>
      <sz val="10.0"/>
      <color rgb="FF000000"/>
    </font>
    <font>
      <i/>
      <sz val="10.0"/>
      <color rgb="FF000000"/>
    </font>
    <font>
      <sz val="10.0"/>
      <color rgb="FF000000"/>
    </font>
    <font>
      <b/>
      <sz val="10.0"/>
    </font>
    <font>
      <color rgb="FF000000"/>
    </font>
    <font>
      <i/>
      <sz val="10.0"/>
      <color rgb="FF000000"/>
    </font>
    <font>
      <sz val="10.0"/>
      <color rgb="FF000000"/>
    </font>
    <font>
      <i/>
      <sz val="10.0"/>
      <color rgb="FF000000"/>
    </font>
    <font>
      <i/>
      <sz val="10.0"/>
      <color rgb="FF000000"/>
    </font>
    <font>
      <i/>
    </font>
    <font>
      <i/>
    </font>
    <font>
      <i/>
      <sz val="10.0"/>
      <color rgb="FF000000"/>
    </font>
    <font>
      <color rgb="FF000000"/>
    </font>
    <font>
      <sz val="10.0"/>
      <color rgb="FF000000"/>
    </font>
    <font>
      <sz val="10.0"/>
      <color rgb="FF000000"/>
    </font>
    <font>
      <sz val="10.0"/>
      <color rgb="FF000000"/>
    </font>
    <font>
      <sz val="10.0"/>
      <color rgb="FF000000"/>
    </font>
    <font>
      <i/>
      <sz val="10.0"/>
      <color rgb="FF000000"/>
    </font>
    <font/>
    <font/>
  </fonts>
  <fills count="13">
    <fill>
      <patternFill patternType="none"/>
    </fill>
    <fill>
      <patternFill patternType="lightGray"/>
    </fill>
    <fill>
      <patternFill patternType="none"/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  <fill>
      <patternFill patternType="solid">
        <fgColor rgb="FFFFC7CE"/>
        <bgColor rgb="FFFFC7CE"/>
      </patternFill>
    </fill>
    <fill>
      <patternFill patternType="solid">
        <fgColor rgb="FFEA9999"/>
        <bgColor rgb="FFEA9999"/>
      </patternFill>
    </fill>
    <fill>
      <patternFill patternType="solid">
        <fgColor rgb="FFB6D7A8"/>
        <bgColor rgb="FFB6D7A8"/>
      </patternFill>
    </fill>
    <fill>
      <patternFill patternType="solid">
        <fgColor rgb="FFD9D9D9"/>
        <bgColor rgb="FFD9D9D9"/>
      </patternFill>
    </fill>
    <fill>
      <patternFill patternType="solid">
        <fgColor rgb="FFDD7E6B"/>
        <bgColor rgb="FFDD7E6B"/>
      </patternFill>
    </fill>
    <fill>
      <patternFill patternType="solid">
        <fgColor rgb="FFF3F3F3"/>
        <bgColor rgb="FFF3F3F3"/>
      </patternFill>
    </fill>
    <fill>
      <patternFill patternType="solid">
        <fgColor rgb="FFB7B7B7"/>
        <bgColor rgb="FFB7B7B7"/>
      </patternFill>
    </fill>
    <fill>
      <patternFill patternType="solid">
        <fgColor rgb="FF93C47D"/>
        <bgColor rgb="FF93C47D"/>
      </patternFill>
    </fill>
  </fills>
  <borders count="235">
    <border>
      <left/>
      <right/>
      <top/>
      <bottom/>
      <diagonal/>
    </border>
    <border>
      <left/>
      <right/>
      <top/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/>
    </border>
  </borders>
  <cellStyleXfs count="1">
    <xf fillId="0" numFmtId="0" borderId="0" fontId="0"/>
  </cellStyleXfs>
  <cellXfs count="327">
    <xf fillId="0" numFmtId="0" borderId="0" fontId="0"/>
    <xf applyAlignment="1" fillId="2" xfId="0" numFmtId="164" borderId="1" applyFont="1" fontId="1" applyNumberFormat="1">
      <alignment/>
    </xf>
    <xf applyAlignment="1" fillId="2" xfId="0" numFmtId="165" borderId="1" applyFont="1" fontId="2" applyNumberFormat="1">
      <alignment horizontal="center"/>
    </xf>
    <xf applyBorder="1" applyAlignment="1" fillId="2" xfId="0" numFmtId="166" borderId="2" applyFont="1" fontId="3" applyNumberFormat="1">
      <alignment/>
    </xf>
    <xf applyBorder="1" applyAlignment="1" fillId="2" xfId="0" numFmtId="167" borderId="3" applyFont="1" fontId="4" applyNumberFormat="1">
      <alignment horizontal="center"/>
    </xf>
    <xf applyBorder="1" applyAlignment="1" fillId="3" xfId="0" numFmtId="4" borderId="4" applyFont="1" fontId="5" applyNumberFormat="1" applyFill="1">
      <alignment horizontal="center"/>
    </xf>
    <xf applyBorder="1" applyAlignment="1" fillId="2" xfId="0" numFmtId="4" borderId="5" applyFont="1" fontId="6" applyNumberFormat="1">
      <alignment horizontal="center"/>
    </xf>
    <xf applyBorder="1" applyAlignment="1" fillId="3" xfId="0" numFmtId="4" borderId="6" applyFont="1" fontId="7" applyNumberFormat="1">
      <alignment horizontal="center"/>
    </xf>
    <xf applyBorder="1" applyAlignment="1" fillId="2" xfId="0" numFmtId="0" borderId="7" applyFont="1" fontId="8">
      <alignment horizontal="center" wrapText="1"/>
    </xf>
    <xf applyBorder="1" applyAlignment="1" fillId="3" xfId="0" numFmtId="0" borderId="8" applyFont="1" fontId="9">
      <alignment horizontal="center" wrapText="1"/>
    </xf>
    <xf fillId="2" xfId="0" numFmtId="168" borderId="1" applyFont="1" fontId="10" applyNumberFormat="1"/>
    <xf applyBorder="1" applyAlignment="1" fillId="2" xfId="0" numFmtId="169" borderId="9" applyFont="1" fontId="11" applyNumberFormat="1">
      <alignment/>
    </xf>
    <xf applyBorder="1" applyAlignment="1" fillId="3" xfId="0" numFmtId="4" borderId="10" applyFont="1" fontId="12" applyNumberFormat="1">
      <alignment horizontal="right"/>
    </xf>
    <xf applyBorder="1" applyAlignment="1" fillId="2" xfId="0" numFmtId="4" borderId="11" applyFont="1" fontId="13" applyNumberFormat="1">
      <alignment horizontal="right"/>
    </xf>
    <xf applyAlignment="1" fillId="3" xfId="0" numFmtId="4" borderId="1" applyFont="1" fontId="14" applyNumberFormat="1">
      <alignment horizontal="right"/>
    </xf>
    <xf applyBorder="1" fillId="2" xfId="0" numFmtId="4" borderId="12" applyFont="1" fontId="15" applyNumberFormat="1"/>
    <xf applyBorder="1" fillId="3" xfId="0" numFmtId="4" borderId="13" applyFont="1" fontId="16" applyNumberFormat="1"/>
    <xf fillId="2" xfId="0" numFmtId="170" borderId="1" applyFont="1" fontId="17" applyNumberFormat="1"/>
    <xf applyBorder="1" applyAlignment="1" fillId="3" xfId="0" numFmtId="4" borderId="14" applyFont="1" fontId="18" applyNumberFormat="1">
      <alignment horizontal="right"/>
    </xf>
    <xf applyBorder="1" applyAlignment="1" fillId="2" xfId="0" numFmtId="4" borderId="15" applyFont="1" fontId="19" applyNumberFormat="1">
      <alignment horizontal="right"/>
    </xf>
    <xf applyAlignment="1" fillId="3" xfId="0" numFmtId="4" borderId="1" applyFont="1" fontId="20" applyNumberFormat="1">
      <alignment horizontal="right"/>
    </xf>
    <xf applyAlignment="1" fillId="2" xfId="0" numFmtId="171" borderId="1" applyFont="1" fontId="21" applyNumberFormat="1">
      <alignment/>
    </xf>
    <xf applyBorder="1" applyAlignment="1" fillId="2" xfId="0" numFmtId="4" borderId="16" applyFont="1" fontId="22" applyNumberFormat="1">
      <alignment horizontal="right"/>
    </xf>
    <xf applyAlignment="1" fillId="2" xfId="0" numFmtId="172" borderId="1" applyFont="1" fontId="23" applyNumberFormat="1">
      <alignment/>
    </xf>
    <xf applyAlignment="1" fillId="2" xfId="0" numFmtId="173" borderId="1" applyFont="1" fontId="24" applyNumberFormat="1">
      <alignment/>
    </xf>
    <xf applyBorder="1" applyAlignment="1" fillId="3" xfId="0" numFmtId="4" borderId="17" applyFont="1" fontId="25" applyNumberFormat="1">
      <alignment horizontal="right"/>
    </xf>
    <xf applyAlignment="1" fillId="3" xfId="0" numFmtId="4" borderId="1" applyFont="1" fontId="26" applyNumberFormat="1">
      <alignment horizontal="right"/>
    </xf>
    <xf applyBorder="1" applyAlignment="1" fillId="2" xfId="0" numFmtId="4" borderId="18" applyFont="1" fontId="27" applyNumberFormat="1">
      <alignment/>
    </xf>
    <xf applyBorder="1" applyAlignment="1" fillId="3" xfId="0" numFmtId="4" borderId="19" applyFont="1" fontId="28" applyNumberFormat="1">
      <alignment/>
    </xf>
    <xf applyBorder="1" applyAlignment="1" fillId="2" xfId="0" numFmtId="174" borderId="20" applyFont="1" fontId="29" applyNumberFormat="1">
      <alignment/>
    </xf>
    <xf applyBorder="1" applyAlignment="1" fillId="2" xfId="0" numFmtId="175" borderId="21" applyFont="1" fontId="30" applyNumberFormat="1">
      <alignment/>
    </xf>
    <xf applyBorder="1" applyAlignment="1" fillId="3" xfId="0" numFmtId="4" borderId="22" applyFont="1" fontId="31" applyNumberFormat="1">
      <alignment horizontal="right"/>
    </xf>
    <xf applyBorder="1" applyAlignment="1" fillId="2" xfId="0" numFmtId="4" borderId="23" applyFont="1" fontId="32" applyNumberFormat="1">
      <alignment horizontal="right"/>
    </xf>
    <xf applyBorder="1" applyAlignment="1" fillId="3" xfId="0" numFmtId="4" borderId="24" applyFont="1" fontId="33" applyNumberFormat="1">
      <alignment horizontal="right"/>
    </xf>
    <xf applyBorder="1" fillId="2" xfId="0" numFmtId="4" borderId="25" applyFont="1" fontId="34" applyNumberFormat="1"/>
    <xf applyBorder="1" fillId="2" xfId="0" numFmtId="4" borderId="26" applyFont="1" fontId="35" applyNumberFormat="1"/>
    <xf applyBorder="1" applyAlignment="1" fillId="2" xfId="0" numFmtId="176" borderId="27" applyFont="1" fontId="36" applyNumberFormat="1">
      <alignment horizontal="right"/>
    </xf>
    <xf applyBorder="1" applyAlignment="1" fillId="2" xfId="0" numFmtId="177" borderId="28" applyFont="1" fontId="37" applyNumberFormat="1">
      <alignment horizontal="right"/>
    </xf>
    <xf fillId="2" xfId="0" numFmtId="4" borderId="1" applyFont="1" fontId="38" applyNumberFormat="1"/>
    <xf applyAlignment="1" fillId="2" xfId="0" numFmtId="178" borderId="1" applyFont="1" fontId="39" applyNumberFormat="1">
      <alignment/>
    </xf>
    <xf applyBorder="1" applyAlignment="1" fillId="2" xfId="0" numFmtId="3" borderId="29" applyFont="1" fontId="40" applyNumberFormat="1">
      <alignment horizontal="center"/>
    </xf>
    <xf applyBorder="1" fillId="2" xfId="0" numFmtId="4" borderId="30" applyFont="1" fontId="41" applyNumberFormat="1"/>
    <xf applyBorder="1" fillId="3" xfId="0" numFmtId="4" borderId="31" applyFont="1" fontId="42" applyNumberFormat="1"/>
    <xf applyAlignment="1" fillId="2" xfId="0" numFmtId="0" borderId="1" applyFont="1" fontId="43">
      <alignment horizontal="left"/>
    </xf>
    <xf applyAlignment="1" fillId="2" xfId="0" numFmtId="0" borderId="1" applyFont="1" fontId="44">
      <alignment horizontal="left"/>
    </xf>
    <xf applyBorder="1" applyAlignment="1" fillId="2" xfId="0" numFmtId="3" borderId="32" applyFont="1" fontId="45" applyNumberFormat="1">
      <alignment horizontal="center"/>
    </xf>
    <xf applyBorder="1" applyAlignment="1" fillId="2" xfId="0" numFmtId="3" borderId="33" applyFont="1" fontId="46" applyNumberFormat="1">
      <alignment horizontal="center"/>
    </xf>
    <xf applyBorder="1" applyAlignment="1" fillId="3" xfId="0" numFmtId="4" borderId="34" applyFont="1" fontId="47" applyNumberFormat="1">
      <alignment horizontal="right"/>
    </xf>
    <xf applyBorder="1" applyAlignment="1" fillId="2" xfId="0" numFmtId="4" borderId="35" applyFont="1" fontId="48" applyNumberFormat="1">
      <alignment horizontal="right"/>
    </xf>
    <xf applyAlignment="1" fillId="3" xfId="0" numFmtId="4" borderId="1" applyFont="1" fontId="49" applyNumberFormat="1">
      <alignment horizontal="right"/>
    </xf>
    <xf applyBorder="1" applyAlignment="1" fillId="2" xfId="0" numFmtId="179" borderId="36" applyFont="1" fontId="50" applyNumberFormat="1">
      <alignment/>
    </xf>
    <xf applyBorder="1" applyAlignment="1" fillId="2" xfId="0" numFmtId="3" borderId="37" applyFont="1" fontId="51" applyNumberFormat="1">
      <alignment horizontal="center"/>
    </xf>
    <xf applyBorder="1" applyAlignment="1" fillId="3" xfId="0" numFmtId="4" borderId="38" applyFont="1" fontId="52" applyNumberFormat="1">
      <alignment horizontal="right"/>
    </xf>
    <xf applyBorder="1" applyAlignment="1" fillId="2" xfId="0" numFmtId="4" borderId="39" applyFont="1" fontId="53" applyNumberFormat="1">
      <alignment horizontal="right"/>
    </xf>
    <xf applyBorder="1" applyAlignment="1" fillId="3" xfId="0" numFmtId="4" borderId="40" applyFont="1" fontId="54" applyNumberFormat="1">
      <alignment horizontal="right"/>
    </xf>
    <xf applyBorder="1" applyAlignment="1" fillId="2" xfId="0" numFmtId="180" borderId="41" applyFont="1" fontId="55" applyNumberFormat="1">
      <alignment/>
    </xf>
    <xf applyBorder="1" applyAlignment="1" fillId="2" xfId="0" numFmtId="181" borderId="42" applyFont="1" fontId="56" applyNumberFormat="1">
      <alignment/>
    </xf>
    <xf applyBorder="1" fillId="3" xfId="0" numFmtId="4" borderId="43" applyFont="1" fontId="57" applyNumberFormat="1"/>
    <xf applyAlignment="1" fillId="2" xfId="0" numFmtId="182" borderId="1" applyFont="1" fontId="58" applyNumberFormat="1">
      <alignment/>
    </xf>
    <xf applyAlignment="1" fillId="2" xfId="0" numFmtId="183" borderId="1" applyFont="1" fontId="59" applyNumberFormat="1">
      <alignment/>
    </xf>
    <xf applyAlignment="1" fillId="2" xfId="0" numFmtId="0" borderId="1" applyFont="1" fontId="60">
      <alignment/>
    </xf>
    <xf applyAlignment="1" fillId="2" xfId="0" numFmtId="0" borderId="1" applyFont="1" fontId="61">
      <alignment/>
    </xf>
    <xf applyAlignment="1" fillId="2" xfId="0" numFmtId="184" borderId="1" applyFont="1" fontId="62" applyNumberFormat="1">
      <alignment/>
    </xf>
    <xf applyBorder="1" applyAlignment="1" fillId="2" xfId="0" numFmtId="185" borderId="44" applyFont="1" fontId="63" applyNumberFormat="1">
      <alignment/>
    </xf>
    <xf applyAlignment="1" fillId="2" xfId="0" numFmtId="186" borderId="1" applyFont="1" fontId="64" applyNumberFormat="1">
      <alignment horizontal="left"/>
    </xf>
    <xf applyAlignment="1" fillId="2" xfId="0" numFmtId="0" borderId="1" applyFont="1" fontId="65">
      <alignment/>
    </xf>
    <xf applyBorder="1" applyAlignment="1" fillId="3" xfId="0" numFmtId="187" borderId="45" applyFont="1" fontId="66" applyNumberFormat="1">
      <alignment horizontal="center"/>
    </xf>
    <xf applyBorder="1" applyAlignment="1" fillId="2" xfId="0" numFmtId="188" borderId="46" applyFont="1" fontId="67" applyNumberFormat="1">
      <alignment horizontal="center"/>
    </xf>
    <xf applyBorder="1" applyAlignment="1" fillId="3" xfId="0" numFmtId="189" borderId="47" applyFont="1" fontId="68" applyNumberFormat="1">
      <alignment horizontal="center"/>
    </xf>
    <xf applyBorder="1" applyAlignment="1" fillId="2" xfId="0" numFmtId="190" borderId="48" applyFont="1" fontId="69" applyNumberFormat="1">
      <alignment/>
    </xf>
    <xf applyBorder="1" applyAlignment="1" fillId="3" xfId="0" numFmtId="0" borderId="49" applyFont="1" fontId="70">
      <alignment/>
    </xf>
    <xf applyAlignment="1" fillId="2" xfId="0" numFmtId="0" borderId="1" applyFont="1" fontId="71">
      <alignment/>
    </xf>
    <xf applyAlignment="1" fillId="2" xfId="0" numFmtId="0" borderId="1" applyFont="1" fontId="72">
      <alignment horizontal="left"/>
    </xf>
    <xf applyAlignment="1" fillId="2" xfId="0" numFmtId="191" borderId="1" applyFont="1" fontId="73" applyNumberFormat="1">
      <alignment/>
    </xf>
    <xf applyBorder="1" applyAlignment="1" fillId="2" xfId="0" numFmtId="3" borderId="50" applyFont="1" fontId="74" applyNumberFormat="1">
      <alignment horizontal="center"/>
    </xf>
    <xf applyBorder="1" applyAlignment="1" fillId="3" xfId="0" numFmtId="4" borderId="51" applyFont="1" fontId="75" applyNumberFormat="1">
      <alignment/>
    </xf>
    <xf applyBorder="1" applyAlignment="1" fillId="2" xfId="0" numFmtId="4" borderId="52" applyFont="1" fontId="76" applyNumberFormat="1">
      <alignment/>
    </xf>
    <xf applyAlignment="1" fillId="3" xfId="0" numFmtId="4" borderId="1" applyFont="1" fontId="77" applyNumberFormat="1">
      <alignment/>
    </xf>
    <xf applyBorder="1" applyAlignment="1" fillId="2" xfId="0" numFmtId="4" borderId="53" applyFont="1" fontId="78" applyNumberFormat="1">
      <alignment horizontal="center"/>
    </xf>
    <xf applyBorder="1" applyAlignment="1" fillId="3" xfId="0" numFmtId="4" borderId="54" applyFont="1" fontId="79" applyNumberFormat="1">
      <alignment horizontal="left"/>
    </xf>
    <xf fillId="2" xfId="0" numFmtId="0" borderId="1" applyFont="1" fontId="80"/>
    <xf applyAlignment="1" fillId="2" xfId="0" numFmtId="0" borderId="1" applyFont="1" fontId="81">
      <alignment horizontal="left"/>
    </xf>
    <xf applyAlignment="1" fillId="2" xfId="0" numFmtId="0" borderId="1" applyFont="1" fontId="82">
      <alignment horizontal="right"/>
    </xf>
    <xf applyAlignment="1" fillId="2" xfId="0" numFmtId="192" borderId="1" applyFont="1" fontId="83" applyNumberFormat="1">
      <alignment/>
    </xf>
    <xf applyBorder="1" applyAlignment="1" fillId="2" xfId="0" numFmtId="3" borderId="55" applyFont="1" fontId="84" applyNumberFormat="1">
      <alignment horizontal="center"/>
    </xf>
    <xf applyBorder="1" applyAlignment="1" fillId="2" xfId="0" numFmtId="4" borderId="56" applyFont="1" fontId="85" applyNumberFormat="1">
      <alignment horizontal="right"/>
    </xf>
    <xf applyBorder="1" applyAlignment="1" fillId="2" xfId="0" numFmtId="4" borderId="57" applyFont="1" fontId="86" applyNumberFormat="1">
      <alignment horizontal="right"/>
    </xf>
    <xf applyBorder="1" applyAlignment="1" fillId="3" xfId="0" numFmtId="4" borderId="58" applyFont="1" fontId="87" applyNumberFormat="1">
      <alignment horizontal="right"/>
    </xf>
    <xf applyAlignment="1" fillId="2" xfId="0" numFmtId="0" borderId="1" applyFont="1" fontId="88">
      <alignment horizontal="left"/>
    </xf>
    <xf applyAlignment="1" fillId="2" xfId="0" numFmtId="0" borderId="1" applyFont="1" fontId="89">
      <alignment horizontal="right"/>
    </xf>
    <xf applyAlignment="1" fillId="2" xfId="0" numFmtId="0" borderId="1" applyFont="1" fontId="90">
      <alignment horizontal="right"/>
    </xf>
    <xf applyAlignment="1" fillId="2" xfId="0" numFmtId="0" borderId="1" applyFont="1" fontId="91">
      <alignment/>
    </xf>
    <xf applyAlignment="1" fillId="2" xfId="0" numFmtId="4" borderId="1" applyFont="1" fontId="92" applyNumberFormat="1">
      <alignment horizontal="right"/>
    </xf>
    <xf applyAlignment="1" fillId="2" xfId="0" numFmtId="4" borderId="1" applyFont="1" fontId="93" applyNumberFormat="1">
      <alignment horizontal="right"/>
    </xf>
    <xf applyBorder="1" applyAlignment="1" fillId="3" xfId="0" numFmtId="4" borderId="59" applyFont="1" fontId="94" applyNumberFormat="1">
      <alignment horizontal="right"/>
    </xf>
    <xf applyAlignment="1" fillId="2" xfId="0" numFmtId="4" borderId="1" applyFont="1" fontId="95" applyNumberFormat="1">
      <alignment horizontal="right"/>
    </xf>
    <xf applyAlignment="1" fillId="2" xfId="0" numFmtId="0" borderId="1" applyFont="1" fontId="96">
      <alignment/>
    </xf>
    <xf applyAlignment="1" fillId="2" xfId="0" numFmtId="0" borderId="1" applyFont="1" fontId="97">
      <alignment horizontal="right"/>
    </xf>
    <xf applyBorder="1" applyAlignment="1" fillId="3" xfId="0" numFmtId="4" borderId="60" applyFont="1" fontId="98" applyNumberFormat="1">
      <alignment horizontal="right"/>
    </xf>
    <xf applyBorder="1" applyAlignment="1" fillId="2" xfId="0" numFmtId="4" borderId="61" applyFont="1" fontId="99" applyNumberFormat="1">
      <alignment horizontal="right"/>
    </xf>
    <xf applyBorder="1" applyAlignment="1" fillId="2" xfId="0" numFmtId="4" borderId="62" applyFont="1" fontId="100" applyNumberFormat="1">
      <alignment horizontal="right"/>
    </xf>
    <xf applyAlignment="1" fillId="2" xfId="0" numFmtId="193" borderId="1" applyFont="1" fontId="101" applyNumberFormat="1">
      <alignment/>
    </xf>
    <xf applyBorder="1" applyAlignment="1" fillId="2" xfId="0" numFmtId="4" borderId="63" applyFont="1" fontId="102" applyNumberFormat="1">
      <alignment horizontal="right"/>
    </xf>
    <xf applyAlignment="1" fillId="4" xfId="0" numFmtId="194" borderId="1" applyFont="1" fontId="103" applyNumberFormat="1" applyFill="1">
      <alignment horizontal="left"/>
    </xf>
    <xf applyBorder="1" applyAlignment="1" fillId="2" xfId="0" numFmtId="195" borderId="64" applyFont="1" fontId="104" applyNumberFormat="1">
      <alignment/>
    </xf>
    <xf applyBorder="1" applyAlignment="1" fillId="2" xfId="0" numFmtId="3" borderId="65" applyFont="1" fontId="105" applyNumberFormat="1">
      <alignment horizontal="center"/>
    </xf>
    <xf applyBorder="1" applyAlignment="1" fillId="2" xfId="0" numFmtId="4" borderId="66" applyFont="1" fontId="106" applyNumberFormat="1">
      <alignment horizontal="right"/>
    </xf>
    <xf applyBorder="1" applyAlignment="1" fillId="2" xfId="0" numFmtId="4" borderId="67" applyFont="1" fontId="107" applyNumberFormat="1">
      <alignment horizontal="right"/>
    </xf>
    <xf applyBorder="1" applyAlignment="1" fillId="3" xfId="0" numFmtId="4" borderId="68" applyFont="1" fontId="108" applyNumberFormat="1">
      <alignment horizontal="right"/>
    </xf>
    <xf applyBorder="1" applyAlignment="1" fillId="2" xfId="0" numFmtId="4" borderId="69" applyFont="1" fontId="109" applyNumberFormat="1">
      <alignment horizontal="right"/>
    </xf>
    <xf applyBorder="1" applyAlignment="1" fillId="2" xfId="0" numFmtId="4" borderId="70" applyFont="1" fontId="110" applyNumberFormat="1">
      <alignment horizontal="center"/>
    </xf>
    <xf applyBorder="1" applyAlignment="1" fillId="2" xfId="0" numFmtId="4" borderId="71" applyFont="1" fontId="111" applyNumberFormat="1">
      <alignment/>
    </xf>
    <xf applyBorder="1" applyAlignment="1" fillId="3" xfId="0" numFmtId="4" borderId="72" applyFont="1" fontId="112" applyNumberFormat="1">
      <alignment/>
    </xf>
    <xf applyAlignment="1" fillId="4" xfId="0" numFmtId="0" borderId="1" applyFont="1" fontId="113">
      <alignment horizontal="right"/>
    </xf>
    <xf applyAlignment="1" fillId="4" xfId="0" numFmtId="0" borderId="1" applyFont="1" fontId="114">
      <alignment/>
    </xf>
    <xf applyAlignment="1" fillId="2" xfId="0" numFmtId="0" borderId="1" applyFont="1" fontId="115">
      <alignment horizontal="left"/>
    </xf>
    <xf applyBorder="1" applyAlignment="1" fillId="3" xfId="0" numFmtId="4" borderId="73" applyFont="1" fontId="116" applyNumberFormat="1">
      <alignment horizontal="right"/>
    </xf>
    <xf applyAlignment="1" fillId="4" xfId="0" numFmtId="0" borderId="1" applyFont="1" fontId="117">
      <alignment/>
    </xf>
    <xf applyBorder="1" applyAlignment="1" fillId="4" xfId="0" numFmtId="4" borderId="74" applyFont="1" fontId="118" applyNumberFormat="1">
      <alignment horizontal="right"/>
    </xf>
    <xf applyAlignment="1" fillId="2" xfId="0" numFmtId="0" borderId="1" applyFont="1" fontId="119">
      <alignment horizontal="left"/>
    </xf>
    <xf applyBorder="1" applyAlignment="1" fillId="2" xfId="0" numFmtId="196" borderId="75" applyFont="1" fontId="120" applyNumberFormat="1">
      <alignment/>
    </xf>
    <xf applyBorder="1" applyAlignment="1" fillId="2" xfId="0" numFmtId="3" borderId="76" applyFont="1" fontId="121" applyNumberFormat="1">
      <alignment horizontal="center"/>
    </xf>
    <xf applyBorder="1" applyAlignment="1" fillId="3" xfId="0" numFmtId="4" borderId="77" applyFont="1" fontId="122" applyNumberFormat="1">
      <alignment horizontal="right"/>
    </xf>
    <xf applyBorder="1" applyAlignment="1" fillId="2" xfId="0" numFmtId="4" borderId="78" applyFont="1" fontId="123" applyNumberFormat="1">
      <alignment horizontal="right"/>
    </xf>
    <xf applyBorder="1" applyAlignment="1" fillId="2" xfId="0" numFmtId="4" borderId="79" applyFont="1" fontId="124" applyNumberFormat="1">
      <alignment horizontal="right"/>
    </xf>
    <xf applyBorder="1" applyAlignment="1" fillId="3" xfId="0" numFmtId="4" borderId="80" applyFont="1" fontId="125" applyNumberFormat="1">
      <alignment horizontal="right"/>
    </xf>
    <xf applyAlignment="1" fillId="2" xfId="0" numFmtId="3" borderId="1" applyFont="1" fontId="126" applyNumberFormat="1">
      <alignment horizontal="center"/>
    </xf>
    <xf applyAlignment="1" fillId="2" xfId="0" numFmtId="4" borderId="1" applyFont="1" fontId="127" applyNumberFormat="1">
      <alignment horizontal="right"/>
    </xf>
    <xf applyAlignment="1" fillId="2" xfId="0" numFmtId="4" borderId="1" applyFont="1" fontId="128" applyNumberFormat="1">
      <alignment horizontal="right"/>
    </xf>
    <xf applyAlignment="1" fillId="2" xfId="0" numFmtId="0" borderId="1" applyFont="1" fontId="129">
      <alignment horizontal="right"/>
    </xf>
    <xf applyBorder="1" applyAlignment="1" fillId="2" xfId="0" numFmtId="197" borderId="81" applyFont="1" fontId="130" applyNumberFormat="1">
      <alignment/>
    </xf>
    <xf applyBorder="1" applyAlignment="1" fillId="2" xfId="0" numFmtId="3" borderId="82" applyFont="1" fontId="131" applyNumberFormat="1">
      <alignment horizontal="center"/>
    </xf>
    <xf applyBorder="1" applyAlignment="1" fillId="5" xfId="0" numFmtId="4" borderId="83" applyFont="1" fontId="132" applyNumberFormat="1" applyFill="1">
      <alignment horizontal="right"/>
    </xf>
    <xf applyBorder="1" applyAlignment="1" fillId="2" xfId="0" numFmtId="4" borderId="84" applyFont="1" fontId="133" applyNumberFormat="1">
      <alignment horizontal="right"/>
    </xf>
    <xf applyBorder="1" applyAlignment="1" fillId="2" xfId="0" numFmtId="4" borderId="85" applyFont="1" fontId="134" applyNumberFormat="1">
      <alignment horizontal="right"/>
    </xf>
    <xf fillId="2" xfId="0" numFmtId="0" borderId="1" applyFont="1" fontId="135"/>
    <xf applyAlignment="1" fillId="4" xfId="0" numFmtId="198" borderId="1" applyFont="1" fontId="136" applyNumberFormat="1">
      <alignment horizontal="left"/>
    </xf>
    <xf applyBorder="1" applyAlignment="1" fillId="2" xfId="0" numFmtId="199" borderId="86" applyFont="1" fontId="137" applyNumberFormat="1">
      <alignment/>
    </xf>
    <xf applyBorder="1" applyAlignment="1" fillId="3" xfId="0" numFmtId="4" borderId="87" applyFont="1" fontId="138" applyNumberFormat="1">
      <alignment horizontal="center" wrapText="1"/>
    </xf>
    <xf applyBorder="1" applyAlignment="1" fillId="2" xfId="0" numFmtId="4" borderId="88" applyFont="1" fontId="139" applyNumberFormat="1">
      <alignment horizontal="center" wrapText="1"/>
    </xf>
    <xf applyBorder="1" applyAlignment="1" fillId="2" xfId="0" numFmtId="200" borderId="89" applyFont="1" fontId="140" applyNumberFormat="1">
      <alignment/>
    </xf>
    <xf applyBorder="1" fillId="3" xfId="0" numFmtId="4" borderId="90" applyFont="1" fontId="141" applyNumberFormat="1"/>
    <xf applyBorder="1" fillId="4" xfId="0" numFmtId="4" borderId="91" applyFont="1" fontId="142" applyNumberFormat="1"/>
    <xf applyBorder="1" applyAlignment="1" fillId="2" xfId="0" numFmtId="201" borderId="92" applyFont="1" fontId="143" applyNumberFormat="1">
      <alignment/>
    </xf>
    <xf applyBorder="1" applyAlignment="1" fillId="3" xfId="0" numFmtId="4" borderId="93" applyFont="1" fontId="144" applyNumberFormat="1">
      <alignment horizontal="center"/>
    </xf>
    <xf applyBorder="1" applyAlignment="1" fillId="4" xfId="0" numFmtId="4" borderId="94" applyFont="1" fontId="145" applyNumberFormat="1">
      <alignment horizontal="center"/>
    </xf>
    <xf applyBorder="1" applyAlignment="1" fillId="2" xfId="0" numFmtId="202" borderId="95" applyFont="1" fontId="146" applyNumberFormat="1">
      <alignment/>
    </xf>
    <xf applyBorder="1" applyAlignment="1" fillId="2" xfId="0" numFmtId="203" borderId="96" applyFont="1" fontId="147" applyNumberFormat="1">
      <alignment/>
    </xf>
    <xf applyBorder="1" applyAlignment="1" fillId="2" xfId="0" numFmtId="204" borderId="97" applyFont="1" fontId="148" applyNumberFormat="1">
      <alignment/>
    </xf>
    <xf applyBorder="1" applyAlignment="1" fillId="3" xfId="0" numFmtId="4" borderId="98" applyFont="1" fontId="149" applyNumberFormat="1">
      <alignment horizontal="center"/>
    </xf>
    <xf applyBorder="1" applyAlignment="1" fillId="4" xfId="0" numFmtId="4" borderId="99" applyFont="1" fontId="150" applyNumberFormat="1">
      <alignment horizontal="center"/>
    </xf>
    <xf applyBorder="1" applyAlignment="1" fillId="2" xfId="0" numFmtId="205" borderId="100" applyFont="1" fontId="151" applyNumberFormat="1">
      <alignment/>
    </xf>
    <xf applyBorder="1" applyAlignment="1" fillId="2" xfId="0" numFmtId="4" borderId="101" applyFont="1" fontId="152" applyNumberFormat="1">
      <alignment/>
    </xf>
    <xf applyAlignment="1" fillId="2" xfId="0" numFmtId="4" borderId="1" applyFont="1" fontId="153" applyNumberFormat="1">
      <alignment/>
    </xf>
    <xf applyBorder="1" applyAlignment="1" fillId="2" xfId="0" numFmtId="206" borderId="102" applyFont="1" fontId="154" applyNumberFormat="1">
      <alignment horizontal="center"/>
    </xf>
    <xf applyBorder="1" applyAlignment="1" fillId="2" xfId="0" numFmtId="207" borderId="103" applyFont="1" fontId="155" applyNumberFormat="1">
      <alignment horizontal="center"/>
    </xf>
    <xf applyBorder="1" applyAlignment="1" fillId="6" xfId="0" numFmtId="4" borderId="104" applyFont="1" fontId="156" applyNumberFormat="1" applyFill="1">
      <alignment horizontal="center"/>
    </xf>
    <xf applyBorder="1" applyAlignment="1" fillId="3" xfId="0" numFmtId="4" borderId="105" applyFont="1" fontId="157" applyNumberFormat="1">
      <alignment horizontal="center"/>
    </xf>
    <xf applyBorder="1" applyAlignment="1" fillId="4" xfId="0" numFmtId="4" borderId="106" applyFont="1" fontId="158" applyNumberFormat="1">
      <alignment horizontal="center"/>
    </xf>
    <xf applyBorder="1" applyAlignment="1" fillId="3" xfId="0" numFmtId="4" borderId="107" applyFont="1" fontId="159" applyNumberFormat="1">
      <alignment horizontal="center"/>
    </xf>
    <xf applyBorder="1" applyAlignment="1" fillId="2" xfId="0" numFmtId="4" borderId="108" applyFont="1" fontId="160" applyNumberFormat="1">
      <alignment horizontal="center"/>
    </xf>
    <xf applyBorder="1" applyAlignment="1" fillId="2" xfId="0" numFmtId="208" borderId="109" applyFont="1" fontId="161" applyNumberFormat="1">
      <alignment horizontal="left"/>
    </xf>
    <xf applyBorder="1" applyAlignment="1" fillId="3" xfId="0" numFmtId="4" borderId="110" applyFont="1" fontId="162" applyNumberFormat="1">
      <alignment/>
    </xf>
    <xf applyBorder="1" applyAlignment="1" fillId="4" xfId="0" numFmtId="4" borderId="111" applyFont="1" fontId="163" applyNumberFormat="1">
      <alignment/>
    </xf>
    <xf fillId="2" xfId="0" numFmtId="4" borderId="1" applyFont="1" fontId="164" applyNumberFormat="1"/>
    <xf applyBorder="1" applyAlignment="1" fillId="2" xfId="0" numFmtId="209" borderId="112" applyFont="1" fontId="165" applyNumberFormat="1">
      <alignment horizontal="left"/>
    </xf>
    <xf applyBorder="1" applyAlignment="1" fillId="3" xfId="0" numFmtId="4" borderId="113" applyFont="1" fontId="166" applyNumberFormat="1">
      <alignment horizontal="right"/>
    </xf>
    <xf applyBorder="1" applyAlignment="1" fillId="4" xfId="0" numFmtId="4" borderId="114" applyFont="1" fontId="167" applyNumberFormat="1">
      <alignment horizontal="right"/>
    </xf>
    <xf applyAlignment="1" fillId="2" xfId="0" numFmtId="4" borderId="1" applyFont="1" fontId="168" applyNumberFormat="1">
      <alignment horizontal="right"/>
    </xf>
    <xf applyBorder="1" applyAlignment="1" fillId="3" xfId="0" numFmtId="4" borderId="115" applyFont="1" fontId="169" applyNumberFormat="1">
      <alignment horizontal="right"/>
    </xf>
    <xf applyBorder="1" applyAlignment="1" fillId="2" xfId="0" numFmtId="210" borderId="116" applyFont="1" fontId="170" applyNumberFormat="1">
      <alignment horizontal="left"/>
    </xf>
    <xf applyBorder="1" applyAlignment="1" fillId="3" xfId="0" numFmtId="4" borderId="117" applyFont="1" fontId="171" applyNumberFormat="1">
      <alignment horizontal="right"/>
    </xf>
    <xf applyBorder="1" applyAlignment="1" fillId="4" xfId="0" numFmtId="4" borderId="118" applyFont="1" fontId="172" applyNumberFormat="1">
      <alignment horizontal="right"/>
    </xf>
    <xf applyBorder="1" applyAlignment="1" fillId="2" xfId="0" numFmtId="211" borderId="119" applyFont="1" fontId="173" applyNumberFormat="1">
      <alignment horizontal="left"/>
    </xf>
    <xf applyBorder="1" fillId="7" xfId="0" numFmtId="4" borderId="120" applyFont="1" fontId="174" applyNumberFormat="1" applyFill="1"/>
    <xf applyBorder="1" applyAlignment="1" fillId="4" xfId="0" numFmtId="4" borderId="121" applyFont="1" fontId="175" applyNumberFormat="1">
      <alignment/>
    </xf>
    <xf applyBorder="1" fillId="4" xfId="0" numFmtId="4" borderId="122" applyFont="1" fontId="176" applyNumberFormat="1"/>
    <xf applyBorder="1" applyAlignment="1" fillId="2" xfId="0" numFmtId="212" borderId="123" applyFont="1" fontId="177" applyNumberFormat="1">
      <alignment horizontal="left"/>
    </xf>
    <xf applyBorder="1" fillId="8" xfId="0" numFmtId="4" borderId="124" applyFont="1" fontId="178" applyNumberFormat="1" applyFill="1"/>
    <xf applyBorder="1" applyAlignment="1" fillId="8" xfId="0" numFmtId="4" borderId="125" applyFont="1" fontId="179" applyNumberFormat="1">
      <alignment/>
    </xf>
    <xf applyBorder="1" applyAlignment="1" fillId="2" xfId="0" numFmtId="213" borderId="126" applyFont="1" fontId="180" applyNumberFormat="1">
      <alignment horizontal="left"/>
    </xf>
    <xf applyBorder="1" applyAlignment="1" fillId="3" xfId="0" numFmtId="4" borderId="127" applyFont="1" fontId="181" applyNumberFormat="1">
      <alignment horizontal="right"/>
    </xf>
    <xf applyBorder="1" applyAlignment="1" fillId="4" xfId="0" numFmtId="4" borderId="128" applyFont="1" fontId="182" applyNumberFormat="1">
      <alignment horizontal="right"/>
    </xf>
    <xf applyAlignment="1" fillId="2" xfId="0" numFmtId="4" borderId="1" applyFont="1" fontId="183" applyNumberFormat="1">
      <alignment/>
    </xf>
    <xf applyBorder="1" fillId="6" xfId="0" numFmtId="4" borderId="129" applyFont="1" fontId="184" applyNumberFormat="1"/>
    <xf applyBorder="1" fillId="7" xfId="0" numFmtId="4" borderId="130" applyFont="1" fontId="185" applyNumberFormat="1"/>
    <xf applyAlignment="1" fillId="2" xfId="0" numFmtId="0" borderId="1" applyFont="1" fontId="186">
      <alignment/>
    </xf>
    <xf applyBorder="1" applyAlignment="1" fillId="2" xfId="0" numFmtId="3" borderId="131" applyFont="1" fontId="187" applyNumberFormat="1">
      <alignment horizontal="center"/>
    </xf>
    <xf applyBorder="1" applyAlignment="1" fillId="2" xfId="0" numFmtId="0" borderId="132" applyFont="1" fontId="188">
      <alignment horizontal="center" wrapText="1"/>
    </xf>
    <xf applyBorder="1" fillId="2" xfId="0" numFmtId="4" borderId="133" applyFont="1" fontId="189" applyNumberFormat="1"/>
    <xf applyBorder="1" fillId="3" xfId="0" numFmtId="4" borderId="134" applyFont="1" fontId="190" applyNumberFormat="1"/>
    <xf applyBorder="1" applyAlignment="1" fillId="2" xfId="0" numFmtId="4" borderId="135" applyFont="1" fontId="191" applyNumberFormat="1">
      <alignment/>
    </xf>
    <xf applyBorder="1" applyAlignment="1" fillId="2" xfId="0" numFmtId="4" borderId="136" applyFont="1" fontId="192" applyNumberFormat="1">
      <alignment horizontal="right"/>
    </xf>
    <xf applyBorder="1" applyAlignment="1" fillId="3" xfId="0" numFmtId="4" borderId="137" applyFont="1" fontId="193" applyNumberFormat="1">
      <alignment/>
    </xf>
    <xf applyBorder="1" applyAlignment="1" fillId="2" xfId="0" numFmtId="4" borderId="138" applyFont="1" fontId="194" applyNumberFormat="1">
      <alignment/>
    </xf>
    <xf applyBorder="1" applyAlignment="1" fillId="2" xfId="0" numFmtId="3" borderId="139" applyFont="1" fontId="195" applyNumberFormat="1">
      <alignment horizontal="center"/>
    </xf>
    <xf applyBorder="1" applyAlignment="1" fillId="2" xfId="0" numFmtId="4" borderId="140" applyFont="1" fontId="196" applyNumberFormat="1">
      <alignment horizontal="right"/>
    </xf>
    <xf applyBorder="1" applyAlignment="1" fillId="2" xfId="0" numFmtId="4" borderId="141" applyFont="1" fontId="197" applyNumberFormat="1">
      <alignment horizontal="right"/>
    </xf>
    <xf applyAlignment="1" fillId="2" xfId="0" numFmtId="3" borderId="1" applyFont="1" fontId="198" applyNumberFormat="1">
      <alignment horizontal="center"/>
    </xf>
    <xf applyBorder="1" applyAlignment="1" fillId="3" xfId="0" numFmtId="4" borderId="142" applyFont="1" fontId="199" applyNumberFormat="1">
      <alignment horizontal="right"/>
    </xf>
    <xf applyAlignment="1" fillId="3" xfId="0" numFmtId="4" borderId="1" applyFont="1" fontId="200" applyNumberFormat="1">
      <alignment horizontal="right"/>
    </xf>
    <xf applyBorder="1" applyAlignment="1" fillId="2" xfId="0" numFmtId="214" borderId="143" applyFont="1" fontId="201" applyNumberFormat="1">
      <alignment/>
    </xf>
    <xf applyBorder="1" applyAlignment="1" fillId="6" xfId="0" numFmtId="4" borderId="144" applyFont="1" fontId="202" applyNumberFormat="1">
      <alignment horizontal="right"/>
    </xf>
    <xf applyBorder="1" applyAlignment="1" fillId="2" xfId="0" numFmtId="3" borderId="145" applyFont="1" fontId="203" applyNumberFormat="1">
      <alignment horizontal="center"/>
    </xf>
    <xf applyBorder="1" applyAlignment="1" fillId="9" xfId="0" numFmtId="4" borderId="146" applyFont="1" fontId="204" applyNumberFormat="1" applyFill="1">
      <alignment horizontal="right"/>
    </xf>
    <xf applyBorder="1" applyAlignment="1" fillId="9" xfId="0" numFmtId="4" borderId="147" applyFont="1" fontId="205" applyNumberFormat="1">
      <alignment horizontal="right"/>
    </xf>
    <xf applyBorder="1" applyAlignment="1" fillId="9" xfId="0" numFmtId="4" borderId="148" applyFont="1" fontId="206" applyNumberFormat="1">
      <alignment horizontal="right"/>
    </xf>
    <xf applyBorder="1" fillId="9" xfId="0" numFmtId="4" borderId="149" applyFont="1" fontId="207" applyNumberFormat="1"/>
    <xf applyBorder="1" fillId="9" xfId="0" numFmtId="4" borderId="150" applyFont="1" fontId="208" applyNumberFormat="1"/>
    <xf applyAlignment="1" fillId="4" xfId="0" numFmtId="215" borderId="1" applyFont="1" fontId="209" applyNumberFormat="1">
      <alignment/>
    </xf>
    <xf applyAlignment="1" fillId="4" xfId="0" numFmtId="216" borderId="1" applyFont="1" fontId="210" applyNumberFormat="1">
      <alignment/>
    </xf>
    <xf applyAlignment="1" fillId="4" xfId="0" numFmtId="4" borderId="1" applyFont="1" fontId="211" applyNumberFormat="1">
      <alignment horizontal="right"/>
    </xf>
    <xf applyAlignment="1" fillId="4" xfId="0" numFmtId="4" borderId="1" applyFont="1" fontId="212" applyNumberFormat="1">
      <alignment horizontal="right"/>
    </xf>
    <xf fillId="4" xfId="0" numFmtId="4" borderId="1" applyFont="1" fontId="213" applyNumberFormat="1"/>
    <xf applyAlignment="1" fillId="4" xfId="0" numFmtId="4" borderId="1" applyFont="1" fontId="214" applyNumberFormat="1">
      <alignment/>
    </xf>
    <xf fillId="4" xfId="0" numFmtId="0" borderId="1" applyFont="1" fontId="215"/>
    <xf applyAlignment="1" fillId="4" xfId="0" numFmtId="217" borderId="1" applyFont="1" fontId="216" applyNumberFormat="1">
      <alignment/>
    </xf>
    <xf applyAlignment="1" fillId="2" xfId="0" numFmtId="218" borderId="1" applyFont="1" fontId="217" applyNumberFormat="1">
      <alignment/>
    </xf>
    <xf applyAlignment="1" fillId="2" xfId="0" numFmtId="219" borderId="1" applyFont="1" fontId="218" applyNumberFormat="1">
      <alignment horizontal="left"/>
    </xf>
    <xf applyBorder="1" applyAlignment="1" fillId="7" xfId="0" numFmtId="4" borderId="151" applyFont="1" fontId="219" applyNumberFormat="1">
      <alignment horizontal="right"/>
    </xf>
    <xf applyAlignment="1" fillId="2" xfId="0" numFmtId="220" borderId="1" applyFont="1" fontId="220" applyNumberFormat="1">
      <alignment horizontal="left"/>
    </xf>
    <xf applyBorder="1" applyAlignment="1" fillId="2" xfId="0" numFmtId="0" borderId="152" applyFont="1" fontId="221">
      <alignment horizontal="center"/>
    </xf>
    <xf applyBorder="1" applyAlignment="1" fillId="2" xfId="0" numFmtId="4" borderId="153" applyFont="1" fontId="222" applyNumberFormat="1">
      <alignment horizontal="right"/>
    </xf>
    <xf applyBorder="1" applyAlignment="1" fillId="6" xfId="0" numFmtId="4" borderId="154" applyFont="1" fontId="223" applyNumberFormat="1">
      <alignment horizontal="right"/>
    </xf>
    <xf applyBorder="1" applyAlignment="1" fillId="6" xfId="0" numFmtId="4" borderId="155" applyFont="1" fontId="224" applyNumberFormat="1">
      <alignment horizontal="right"/>
    </xf>
    <xf applyBorder="1" fillId="6" xfId="0" numFmtId="4" borderId="156" applyFont="1" fontId="225" applyNumberFormat="1"/>
    <xf applyBorder="1" fillId="6" xfId="0" numFmtId="4" borderId="157" applyFont="1" fontId="226" applyNumberFormat="1"/>
    <xf applyAlignment="1" fillId="2" xfId="0" numFmtId="221" borderId="1" applyFont="1" fontId="227" applyNumberFormat="1">
      <alignment/>
    </xf>
    <xf applyBorder="1" applyAlignment="1" fillId="2" xfId="0" numFmtId="0" borderId="158" applyFont="1" fontId="228">
      <alignment/>
    </xf>
    <xf applyAlignment="1" fillId="2" xfId="0" numFmtId="222" borderId="1" applyFont="1" fontId="229" applyNumberFormat="1">
      <alignment/>
    </xf>
    <xf applyBorder="1" applyAlignment="1" fillId="2" xfId="0" numFmtId="0" borderId="159" applyFont="1" fontId="230">
      <alignment horizontal="center"/>
    </xf>
    <xf applyBorder="1" applyAlignment="1" fillId="2" xfId="0" numFmtId="0" borderId="160" applyFont="1" fontId="231">
      <alignment/>
    </xf>
    <xf applyAlignment="1" fillId="2" xfId="0" numFmtId="0" borderId="1" applyFont="1" fontId="232">
      <alignment/>
    </xf>
    <xf applyBorder="1" applyAlignment="1" fillId="2" xfId="0" numFmtId="0" borderId="161" applyFont="1" fontId="233">
      <alignment/>
    </xf>
    <xf applyBorder="1" applyAlignment="1" fillId="6" xfId="0" numFmtId="4" borderId="162" applyFont="1" fontId="234" applyNumberFormat="1">
      <alignment horizontal="right"/>
    </xf>
    <xf applyBorder="1" applyAlignment="1" fillId="6" xfId="0" numFmtId="4" borderId="163" applyFont="1" fontId="235" applyNumberFormat="1">
      <alignment horizontal="right"/>
    </xf>
    <xf applyBorder="1" applyAlignment="1" fillId="6" xfId="0" numFmtId="4" borderId="164" applyFont="1" fontId="236" applyNumberFormat="1">
      <alignment horizontal="right"/>
    </xf>
    <xf applyAlignment="1" fillId="2" xfId="0" numFmtId="223" borderId="1" applyFont="1" fontId="237" applyNumberFormat="1">
      <alignment horizontal="center"/>
    </xf>
    <xf applyBorder="1" applyAlignment="1" fillId="2" xfId="0" numFmtId="4" borderId="165" applyFont="1" fontId="238" applyNumberFormat="1">
      <alignment horizontal="center"/>
    </xf>
    <xf applyBorder="1" applyAlignment="1" fillId="2" xfId="0" numFmtId="4" borderId="166" applyFont="1" fontId="239" applyNumberFormat="1">
      <alignment horizontal="center"/>
    </xf>
    <xf applyBorder="1" applyAlignment="1" fillId="3" xfId="0" numFmtId="4" borderId="167" applyFont="1" fontId="240" applyNumberFormat="1">
      <alignment horizontal="center"/>
    </xf>
    <xf applyBorder="1" applyAlignment="1" fillId="3" xfId="0" numFmtId="4" borderId="168" applyFont="1" fontId="241" applyNumberFormat="1">
      <alignment horizontal="center"/>
    </xf>
    <xf applyBorder="1" applyAlignment="1" fillId="2" xfId="0" numFmtId="4" borderId="169" applyFont="1" fontId="242" applyNumberFormat="1">
      <alignment horizontal="center"/>
    </xf>
    <xf applyAlignment="1" fillId="3" xfId="0" numFmtId="4" borderId="1" applyFont="1" fontId="243" applyNumberFormat="1">
      <alignment horizontal="center"/>
    </xf>
    <xf applyBorder="1" applyAlignment="1" fillId="2" xfId="0" numFmtId="0" borderId="170" applyFont="1" fontId="244">
      <alignment horizontal="center"/>
    </xf>
    <xf applyBorder="1" applyAlignment="1" fillId="3" xfId="0" numFmtId="0" borderId="171" applyFont="1" fontId="245">
      <alignment horizontal="center"/>
    </xf>
    <xf applyBorder="1" applyAlignment="1" fillId="2" xfId="0" numFmtId="4" borderId="172" applyFont="1" fontId="246" applyNumberFormat="1">
      <alignment horizontal="center"/>
    </xf>
    <xf applyAlignment="1" fillId="3" xfId="0" numFmtId="4" borderId="1" applyFont="1" fontId="247" applyNumberFormat="1">
      <alignment horizontal="center"/>
    </xf>
    <xf applyBorder="1" applyAlignment="1" fillId="2" xfId="0" numFmtId="4" borderId="173" applyFont="1" fontId="248" applyNumberFormat="1">
      <alignment horizontal="center"/>
    </xf>
    <xf applyBorder="1" applyAlignment="1" fillId="3" xfId="0" numFmtId="4" borderId="174" applyFont="1" fontId="249" applyNumberFormat="1">
      <alignment horizontal="center"/>
    </xf>
    <xf applyBorder="1" applyAlignment="1" fillId="2" xfId="0" numFmtId="224" borderId="175" applyFont="1" fontId="250" applyNumberFormat="1">
      <alignment horizontal="center"/>
    </xf>
    <xf applyBorder="1" applyAlignment="1" fillId="2" xfId="0" numFmtId="225" borderId="176" applyFont="1" fontId="251" applyNumberFormat="1">
      <alignment horizontal="center"/>
    </xf>
    <xf applyBorder="1" applyAlignment="1" fillId="2" xfId="0" numFmtId="4" borderId="177" applyFont="1" fontId="252" applyNumberFormat="1">
      <alignment horizontal="center"/>
    </xf>
    <xf applyBorder="1" applyAlignment="1" fillId="3" xfId="0" numFmtId="4" borderId="178" applyFont="1" fontId="253" applyNumberFormat="1">
      <alignment horizontal="center"/>
    </xf>
    <xf applyBorder="1" applyAlignment="1" fillId="3" xfId="0" numFmtId="4" borderId="179" applyFont="1" fontId="254" applyNumberFormat="1">
      <alignment horizontal="center"/>
    </xf>
    <xf applyBorder="1" applyAlignment="1" fillId="7" xfId="0" numFmtId="4" borderId="180" applyFont="1" fontId="255" applyNumberFormat="1">
      <alignment horizontal="center"/>
    </xf>
    <xf applyBorder="1" applyAlignment="1" fillId="2" xfId="0" numFmtId="226" borderId="181" applyFont="1" fontId="256" applyNumberFormat="1">
      <alignment horizontal="center"/>
    </xf>
    <xf applyAlignment="1" fillId="2" xfId="0" numFmtId="4" borderId="1" applyFont="1" fontId="257" applyNumberFormat="1">
      <alignment horizontal="center"/>
    </xf>
    <xf applyBorder="1" applyAlignment="1" fillId="2" xfId="0" numFmtId="4" borderId="182" applyFont="1" fontId="258" applyNumberFormat="1">
      <alignment horizontal="center"/>
    </xf>
    <xf applyBorder="1" applyAlignment="1" fillId="8" xfId="0" numFmtId="4" borderId="183" applyFont="1" fontId="259" applyNumberFormat="1">
      <alignment horizontal="center"/>
    </xf>
    <xf applyBorder="1" applyAlignment="1" fillId="8" xfId="0" numFmtId="4" borderId="184" applyFont="1" fontId="260" applyNumberFormat="1">
      <alignment horizontal="center"/>
    </xf>
    <xf applyBorder="1" applyAlignment="1" fillId="2" xfId="0" numFmtId="4" borderId="185" applyFont="1" fontId="261" applyNumberFormat="1">
      <alignment horizontal="center"/>
    </xf>
    <xf applyBorder="1" applyAlignment="1" fillId="8" xfId="0" numFmtId="4" borderId="186" applyFont="1" fontId="262" applyNumberFormat="1">
      <alignment horizontal="center"/>
    </xf>
    <xf applyBorder="1" applyAlignment="1" fillId="6" xfId="0" numFmtId="4" borderId="187" applyFont="1" fontId="263" applyNumberFormat="1">
      <alignment horizontal="center"/>
    </xf>
    <xf applyBorder="1" applyAlignment="1" fillId="6" xfId="0" numFmtId="4" borderId="188" applyFont="1" fontId="264" applyNumberFormat="1">
      <alignment horizontal="center"/>
    </xf>
    <xf applyBorder="1" applyAlignment="1" fillId="6" xfId="0" numFmtId="4" borderId="189" applyFont="1" fontId="265" applyNumberFormat="1">
      <alignment horizontal="center"/>
    </xf>
    <xf applyBorder="1" applyAlignment="1" fillId="3" xfId="0" numFmtId="227" borderId="190" applyFont="1" fontId="266" applyNumberFormat="1">
      <alignment horizontal="center" wrapText="1"/>
    </xf>
    <xf applyBorder="1" applyAlignment="1" fillId="2" xfId="0" numFmtId="228" borderId="191" applyFont="1" fontId="267" applyNumberFormat="1">
      <alignment horizontal="center"/>
    </xf>
    <xf applyBorder="1" applyAlignment="1" fillId="2" xfId="0" numFmtId="0" borderId="192" applyFont="1" fontId="268">
      <alignment horizontal="left"/>
    </xf>
    <xf applyBorder="1" applyAlignment="1" fillId="2" xfId="0" numFmtId="4" borderId="193" applyFont="1" fontId="269" applyNumberFormat="1">
      <alignment/>
    </xf>
    <xf applyBorder="1" applyAlignment="1" fillId="2" xfId="0" numFmtId="4" borderId="194" applyFont="1" fontId="270" applyNumberFormat="1">
      <alignment horizontal="right"/>
    </xf>
    <xf applyBorder="1" applyAlignment="1" fillId="3" xfId="0" numFmtId="4" borderId="195" applyFont="1" fontId="271" applyNumberFormat="1">
      <alignment horizontal="right"/>
    </xf>
    <xf applyBorder="1" applyAlignment="1" fillId="2" xfId="0" numFmtId="229" borderId="196" applyFont="1" fontId="272" applyNumberFormat="1">
      <alignment horizontal="left"/>
    </xf>
    <xf applyBorder="1" applyAlignment="1" fillId="2" xfId="0" numFmtId="4" borderId="197" applyFont="1" fontId="273" applyNumberFormat="1">
      <alignment horizontal="right"/>
    </xf>
    <xf applyBorder="1" applyAlignment="1" fillId="2" xfId="0" numFmtId="4" borderId="198" applyFont="1" fontId="274" applyNumberFormat="1">
      <alignment horizontal="right"/>
    </xf>
    <xf applyBorder="1" applyAlignment="1" fillId="3" xfId="0" numFmtId="4" borderId="199" applyFont="1" fontId="275" applyNumberFormat="1">
      <alignment/>
    </xf>
    <xf applyBorder="1" applyAlignment="1" fillId="2" xfId="0" numFmtId="230" borderId="200" applyFont="1" fontId="276" applyNumberFormat="1">
      <alignment horizontal="left"/>
    </xf>
    <xf applyBorder="1" applyAlignment="1" fillId="7" xfId="0" numFmtId="4" borderId="201" applyFont="1" fontId="277" applyNumberFormat="1">
      <alignment horizontal="right"/>
    </xf>
    <xf applyAlignment="1" fillId="2" xfId="0" numFmtId="4" borderId="1" applyFont="1" fontId="278" applyNumberFormat="1">
      <alignment/>
    </xf>
    <xf applyBorder="1" applyAlignment="1" fillId="3" xfId="0" numFmtId="4" borderId="202" applyFont="1" fontId="279" applyNumberFormat="1">
      <alignment/>
    </xf>
    <xf applyBorder="1" applyAlignment="1" fillId="2" xfId="0" numFmtId="4" borderId="203" applyFont="1" fontId="280" applyNumberFormat="1">
      <alignment/>
    </xf>
    <xf applyBorder="1" applyAlignment="1" fillId="3" xfId="0" numFmtId="4" borderId="204" applyFont="1" fontId="281" applyNumberFormat="1">
      <alignment/>
    </xf>
    <xf applyBorder="1" applyAlignment="1" fillId="2" xfId="0" numFmtId="4" borderId="205" applyFont="1" fontId="282" applyNumberFormat="1">
      <alignment/>
    </xf>
    <xf applyAlignment="1" fillId="2" xfId="0" numFmtId="0" borderId="1" applyFont="1" fontId="283">
      <alignment horizontal="right"/>
    </xf>
    <xf applyAlignment="1" fillId="4" xfId="0" numFmtId="0" borderId="1" applyFont="1" fontId="284">
      <alignment horizontal="right"/>
    </xf>
    <xf applyBorder="1" applyAlignment="1" fillId="2" xfId="0" numFmtId="231" borderId="206" applyFont="1" fontId="285" applyNumberFormat="1">
      <alignment horizontal="left"/>
    </xf>
    <xf applyBorder="1" applyAlignment="1" fillId="3" xfId="0" numFmtId="4" borderId="207" applyFont="1" fontId="286" applyNumberFormat="1">
      <alignment horizontal="right"/>
    </xf>
    <xf applyBorder="1" applyAlignment="1" fillId="7" xfId="0" numFmtId="4" borderId="208" applyFont="1" fontId="287" applyNumberFormat="1">
      <alignment horizontal="right"/>
    </xf>
    <xf applyBorder="1" applyAlignment="1" fillId="7" xfId="0" numFmtId="4" borderId="209" applyFont="1" fontId="288" applyNumberFormat="1">
      <alignment/>
    </xf>
    <xf applyAlignment="1" fillId="2" xfId="0" numFmtId="0" borderId="1" applyFont="1" fontId="289">
      <alignment/>
    </xf>
    <xf applyAlignment="1" fillId="10" xfId="0" numFmtId="0" borderId="1" applyFont="1" fontId="290" applyFill="1">
      <alignment/>
    </xf>
    <xf applyAlignment="1" fillId="4" xfId="0" numFmtId="0" borderId="1" applyFont="1" fontId="291">
      <alignment/>
    </xf>
    <xf applyAlignment="1" fillId="2" xfId="0" numFmtId="0" borderId="1" applyFont="1" fontId="292">
      <alignment/>
    </xf>
    <xf applyBorder="1" applyAlignment="1" fillId="2" xfId="0" numFmtId="232" borderId="210" applyFont="1" fontId="293" applyNumberFormat="1">
      <alignment/>
    </xf>
    <xf applyBorder="1" applyAlignment="1" fillId="3" xfId="0" numFmtId="4" borderId="211" applyFont="1" fontId="294" applyNumberFormat="1">
      <alignment horizontal="center"/>
    </xf>
    <xf applyBorder="1" applyAlignment="1" fillId="11" xfId="0" numFmtId="4" borderId="212" applyFont="1" fontId="295" applyNumberFormat="1" applyFill="1">
      <alignment horizontal="center"/>
    </xf>
    <xf applyBorder="1" applyAlignment="1" fillId="2" xfId="0" numFmtId="4" borderId="213" applyFont="1" fontId="296" applyNumberFormat="1">
      <alignment horizontal="center"/>
    </xf>
    <xf applyBorder="1" applyAlignment="1" fillId="4" xfId="0" numFmtId="4" borderId="214" applyFont="1" fontId="297" applyNumberFormat="1">
      <alignment horizontal="center"/>
    </xf>
    <xf applyBorder="1" applyAlignment="1" fillId="4" xfId="0" numFmtId="4" borderId="215" applyFont="1" fontId="298" applyNumberFormat="1">
      <alignment horizontal="center"/>
    </xf>
    <xf applyBorder="1" applyAlignment="1" fillId="2" xfId="0" numFmtId="233" borderId="216" applyFont="1" fontId="299" applyNumberFormat="1">
      <alignment/>
    </xf>
    <xf applyBorder="1" applyAlignment="1" fillId="3" xfId="0" numFmtId="4" borderId="217" applyFont="1" fontId="300" applyNumberFormat="1">
      <alignment horizontal="center"/>
    </xf>
    <xf applyAlignment="1" fillId="11" xfId="0" numFmtId="4" borderId="1" applyFont="1" fontId="301" applyNumberFormat="1">
      <alignment horizontal="center"/>
    </xf>
    <xf applyBorder="1" applyAlignment="1" fillId="2" xfId="0" numFmtId="4" borderId="218" applyFont="1" fontId="302" applyNumberFormat="1">
      <alignment horizontal="center"/>
    </xf>
    <xf applyAlignment="1" fillId="4" xfId="0" numFmtId="4" borderId="1" applyFont="1" fontId="303" applyNumberFormat="1">
      <alignment horizontal="center"/>
    </xf>
    <xf applyBorder="1" applyAlignment="1" fillId="4" xfId="0" numFmtId="4" borderId="219" applyFont="1" fontId="304" applyNumberFormat="1">
      <alignment horizontal="center"/>
    </xf>
    <xf applyBorder="1" applyAlignment="1" fillId="3" xfId="0" numFmtId="4" borderId="220" applyFont="1" fontId="305" applyNumberFormat="1">
      <alignment horizontal="center"/>
    </xf>
    <xf applyAlignment="1" fillId="11" xfId="0" numFmtId="4" borderId="1" applyFont="1" fontId="306" applyNumberFormat="1">
      <alignment horizontal="center"/>
    </xf>
    <xf applyBorder="1" applyAlignment="1" fillId="4" xfId="0" numFmtId="4" borderId="221" applyFont="1" fontId="307" applyNumberFormat="1">
      <alignment horizontal="center"/>
    </xf>
    <xf applyAlignment="1" fillId="11" xfId="0" numFmtId="4" borderId="1" applyFont="1" fontId="308" applyNumberFormat="1">
      <alignment horizontal="center"/>
    </xf>
    <xf applyBorder="1" applyAlignment="1" fillId="2" xfId="0" numFmtId="4" borderId="222" applyFont="1" fontId="309" applyNumberFormat="1">
      <alignment horizontal="center"/>
    </xf>
    <xf applyBorder="1" applyAlignment="1" fillId="2" xfId="0" numFmtId="234" borderId="223" applyFont="1" fontId="310" applyNumberFormat="1">
      <alignment/>
    </xf>
    <xf applyBorder="1" applyAlignment="1" fillId="3" xfId="0" numFmtId="4" borderId="224" applyFont="1" fontId="311" applyNumberFormat="1">
      <alignment horizontal="center"/>
    </xf>
    <xf applyBorder="1" applyAlignment="1" fillId="11" xfId="0" numFmtId="4" borderId="225" applyFont="1" fontId="312" applyNumberFormat="1">
      <alignment horizontal="center"/>
    </xf>
    <xf applyBorder="1" applyAlignment="1" fillId="3" xfId="0" numFmtId="4" borderId="226" applyFont="1" fontId="313" applyNumberFormat="1">
      <alignment horizontal="center"/>
    </xf>
    <xf applyBorder="1" applyAlignment="1" fillId="4" xfId="0" numFmtId="4" borderId="227" applyFont="1" fontId="314" applyNumberFormat="1">
      <alignment horizontal="center"/>
    </xf>
    <xf applyBorder="1" applyAlignment="1" fillId="3" xfId="0" numFmtId="4" borderId="228" applyFont="1" fontId="315" applyNumberFormat="1">
      <alignment horizontal="center"/>
    </xf>
    <xf fillId="4" xfId="0" numFmtId="0" borderId="1" applyFont="1" fontId="316"/>
    <xf fillId="11" xfId="0" numFmtId="4" borderId="1" applyFont="1" fontId="317" applyNumberFormat="1"/>
    <xf applyBorder="1" applyAlignment="1" fillId="4" xfId="0" numFmtId="4" borderId="229" applyFont="1" fontId="318" applyNumberFormat="1">
      <alignment horizontal="center"/>
    </xf>
    <xf applyBorder="1" applyAlignment="1" fillId="3" xfId="0" numFmtId="4" borderId="230" applyFont="1" fontId="319" applyNumberFormat="1">
      <alignment horizontal="center"/>
    </xf>
    <xf applyBorder="1" applyAlignment="1" fillId="2" xfId="0" numFmtId="4" borderId="231" applyFont="1" fontId="320" applyNumberFormat="1">
      <alignment horizontal="center"/>
    </xf>
    <xf applyAlignment="1" fillId="4" xfId="0" numFmtId="4" borderId="1" applyFont="1" fontId="321" applyNumberFormat="1">
      <alignment horizontal="center"/>
    </xf>
    <xf applyBorder="1" applyAlignment="1" fillId="4" xfId="0" numFmtId="4" borderId="232" applyFont="1" fontId="322" applyNumberFormat="1">
      <alignment horizontal="center"/>
    </xf>
    <xf applyBorder="1" applyAlignment="1" fillId="3" xfId="0" numFmtId="4" borderId="233" applyFont="1" fontId="323" applyNumberFormat="1">
      <alignment horizontal="center"/>
    </xf>
    <xf applyBorder="1" applyAlignment="1" fillId="3" xfId="0" numFmtId="4" borderId="234" applyFont="1" fontId="324" applyNumberFormat="1">
      <alignment horizontal="center"/>
    </xf>
    <xf fillId="6" xfId="0" numFmtId="4" borderId="1" applyFont="1" fontId="325" applyNumberFormat="1"/>
    <xf fillId="12" xfId="0" numFmtId="4" borderId="1" applyFont="1" fontId="326" applyNumberFormat="1" applyFill="1"/>
  </cellXfs>
  <cellStyles count="1">
    <cellStyle builtinId="0" name="Normal" xfId="0"/>
  </cellStyles>
  <dxfs count="3">
    <dxf>
      <font/>
      <fill>
        <patternFill patternType="solid">
          <fgColor rgb="FFB6D7A8"/>
          <bgColor rgb="FFB6D7A8"/>
        </patternFill>
      </fill>
      <alignment/>
      <border>
        <left/>
        <right/>
        <top/>
        <bottom/>
      </border>
    </dxf>
    <dxf>
      <font/>
      <fill>
        <patternFill patternType="solid">
          <fgColor rgb="FFEA9999"/>
          <bgColor rgb="FFEA9999"/>
        </patternFill>
      </fill>
      <alignment/>
      <border>
        <left/>
        <right/>
        <top/>
        <bottom/>
      </border>
    </dxf>
    <dxf>
      <font/>
      <fill>
        <patternFill patternType="solid">
          <fgColor rgb="FF93C47D"/>
          <bgColor rgb="FF93C47D"/>
        </patternFill>
      </fill>
      <alignment/>
      <border>
        <left/>
        <right/>
        <top/>
        <bottom/>
      </border>
    </dxf>
  </dxfs>
  <tableStyles count="0" defaultTableStyle="TableStyleMedium9" defaultPivotStyle="PivotStyleMedium4"/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worksheets/sheet10.xml" Type="http://schemas.openxmlformats.org/officeDocument/2006/relationships/worksheet" Id="rId12"/><Relationship Target="styles.xml" Type="http://schemas.openxmlformats.org/officeDocument/2006/relationships/styles" Id="rId1"/><Relationship Target="worksheets/sheet11.xml" Type="http://schemas.openxmlformats.org/officeDocument/2006/relationships/worksheet" Id="rId13"/><Relationship Target="worksheets/sheet2.xml" Type="http://schemas.openxmlformats.org/officeDocument/2006/relationships/worksheet" Id="rId4"/><Relationship Target="worksheets/sheet8.xml" Type="http://schemas.openxmlformats.org/officeDocument/2006/relationships/worksheet" Id="rId10"/><Relationship Target="worksheets/sheet1.xml" Type="http://schemas.openxmlformats.org/officeDocument/2006/relationships/worksheet" Id="rId3"/><Relationship Target="worksheets/sheet9.xml" Type="http://schemas.openxmlformats.org/officeDocument/2006/relationships/worksheet" Id="rId11"/><Relationship Target="worksheets/sheet7.xml" Type="http://schemas.openxmlformats.org/officeDocument/2006/relationships/worksheet" Id="rId9"/><Relationship Target="worksheets/sheet4.xml" Type="http://schemas.openxmlformats.org/officeDocument/2006/relationships/worksheet" Id="rId6"/><Relationship Target="worksheets/sheet3.xml" Type="http://schemas.openxmlformats.org/officeDocument/2006/relationships/worksheet" Id="rId5"/><Relationship Target="worksheets/sheet6.xml" Type="http://schemas.openxmlformats.org/officeDocument/2006/relationships/worksheet" Id="rId8"/><Relationship Target="worksheets/sheet5.xml" Type="http://schemas.openxmlformats.org/officeDocument/2006/relationships/worksheet" Id="rId7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Target="../drawings/drawing1.xml" Type="http://schemas.openxmlformats.org/officeDocument/2006/relationships/drawing" Id="rId1"/></Relationships>
</file>

<file path=xl/worksheets/_rels/sheet10.xml.rels><?xml version="1.0" encoding="UTF-8" standalone="yes"?><Relationships xmlns="http://schemas.openxmlformats.org/package/2006/relationships"><Relationship Target="../drawings/drawing10.xml" Type="http://schemas.openxmlformats.org/officeDocument/2006/relationships/drawing" Id="rId1"/></Relationships>
</file>

<file path=xl/worksheets/_rels/sheet11.xml.rels><?xml version="1.0" encoding="UTF-8" standalone="yes"?><Relationships xmlns="http://schemas.openxmlformats.org/package/2006/relationships"><Relationship Target="../drawings/drawing11.xml" Type="http://schemas.openxmlformats.org/officeDocument/2006/relationships/drawing" Id="rId1"/></Relationships>
</file>

<file path=xl/worksheets/_rels/sheet2.xml.rels><?xml version="1.0" encoding="UTF-8" standalone="yes"?><Relationships xmlns="http://schemas.openxmlformats.org/package/2006/relationships"><Relationship Target="../drawings/drawing2.xml" Type="http://schemas.openxmlformats.org/officeDocument/2006/relationships/drawing" Id="rId2"/><Relationship Target="../comments1.xml" Type="http://schemas.openxmlformats.org/officeDocument/2006/relationships/comments" Id="rId1"/><Relationship Target="../drawings/vmlDrawing1.vml" Type="http://schemas.openxmlformats.org/officeDocument/2006/relationships/vmlDrawing" Id="rId3"/></Relationships>
</file>

<file path=xl/worksheets/_rels/sheet3.xml.rels><?xml version="1.0" encoding="UTF-8" standalone="yes"?><Relationships xmlns="http://schemas.openxmlformats.org/package/2006/relationships"><Relationship Target="../drawings/drawing3.xml" Type="http://schemas.openxmlformats.org/officeDocument/2006/relationships/drawing" Id="rId1"/></Relationships>
</file>

<file path=xl/worksheets/_rels/sheet4.xml.rels><?xml version="1.0" encoding="UTF-8" standalone="yes"?><Relationships xmlns="http://schemas.openxmlformats.org/package/2006/relationships"><Relationship Target="../drawings/drawing4.xml" Type="http://schemas.openxmlformats.org/officeDocument/2006/relationships/drawing" Id="rId1"/></Relationships>
</file>

<file path=xl/worksheets/_rels/sheet5.xml.rels><?xml version="1.0" encoding="UTF-8" standalone="yes"?><Relationships xmlns="http://schemas.openxmlformats.org/package/2006/relationships"><Relationship Target="../drawings/drawing5.xml" Type="http://schemas.openxmlformats.org/officeDocument/2006/relationships/drawing" Id="rId1"/></Relationships>
</file>

<file path=xl/worksheets/_rels/sheet6.xml.rels><?xml version="1.0" encoding="UTF-8" standalone="yes"?><Relationships xmlns="http://schemas.openxmlformats.org/package/2006/relationships"><Relationship Target="../drawings/drawing6.xml" Type="http://schemas.openxmlformats.org/officeDocument/2006/relationships/drawing" Id="rId1"/></Relationships>
</file>

<file path=xl/worksheets/_rels/sheet7.xml.rels><?xml version="1.0" encoding="UTF-8" standalone="yes"?><Relationships xmlns="http://schemas.openxmlformats.org/package/2006/relationships"><Relationship Target="../drawings/drawing7.xml" Type="http://schemas.openxmlformats.org/officeDocument/2006/relationships/drawing" Id="rId1"/></Relationships>
</file>

<file path=xl/worksheets/_rels/sheet8.xml.rels><?xml version="1.0" encoding="UTF-8" standalone="yes"?><Relationships xmlns="http://schemas.openxmlformats.org/package/2006/relationships"><Relationship Target="../drawings/drawing8.xml" Type="http://schemas.openxmlformats.org/officeDocument/2006/relationships/drawing" Id="rId1"/></Relationships>
</file>

<file path=xl/worksheets/_rels/sheet9.xml.rels><?xml version="1.0" encoding="UTF-8" standalone="yes"?><Relationships xmlns="http://schemas.openxmlformats.org/package/2006/relationships"><Relationship Target="../drawings/drawing9.xml" Type="http://schemas.openxmlformats.org/officeDocument/2006/relationships/drawing" Id="rId1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min="8" customWidth="1" max="8" width="41.43"/>
    <col min="9" customWidth="1" max="9" width="5.71"/>
  </cols>
  <sheetData>
    <row r="1">
      <c s="1" r="A1"/>
      <c s="1" r="B1"/>
      <c t="s" s="2" r="C1">
        <v>0</v>
      </c>
    </row>
    <row r="2">
      <c s="1" r="A2"/>
      <c s="1" r="B2"/>
      <c s="3" r="C2"/>
      <c s="3" r="D2"/>
      <c s="3" r="E2"/>
    </row>
    <row r="3">
      <c s="1" r="A3"/>
      <c t="s" s="4" r="B3">
        <v>1</v>
      </c>
      <c t="s" s="5" r="C3">
        <v>2</v>
      </c>
      <c t="s" s="6" r="D3">
        <v>3</v>
      </c>
      <c t="s" s="7" r="E3">
        <v>4</v>
      </c>
      <c t="s" s="8" r="F3">
        <v>5</v>
      </c>
      <c t="s" s="9" r="G3">
        <v>6</v>
      </c>
    </row>
    <row r="4">
      <c t="s" s="10" r="A4">
        <v>7</v>
      </c>
      <c s="11" r="B4"/>
      <c s="12" r="C4"/>
      <c s="13" r="D4"/>
      <c s="14" r="E4"/>
      <c s="15" r="F4"/>
      <c s="16" r="G4"/>
    </row>
    <row r="5">
      <c t="s" s="17" r="A5">
        <v>8</v>
      </c>
      <c s="11" r="B5"/>
      <c s="18" r="C5">
        <v>0.0</v>
      </c>
      <c t="s" s="19" r="D5">
        <v>9</v>
      </c>
      <c s="20" r="E5">
        <v>0.0</v>
      </c>
      <c t="str" s="15" r="F5">
        <f>104,34</f>
        <v>104,34</v>
      </c>
      <c t="str" s="16" r="G5">
        <f>0</f>
        <v>0,00</v>
      </c>
    </row>
    <row r="6">
      <c t="s" s="21" r="A6">
        <v>10</v>
      </c>
      <c s="11" r="B6"/>
      <c s="18" r="C6">
        <v>15000.0</v>
      </c>
      <c t="str" s="22" r="D6">
        <f>40+250+350+430+530+430+690+570+360+880+360+450+880+450+450+450+1690+380+1695</f>
        <v>11 335,00</v>
      </c>
      <c s="20" r="E6">
        <v>15000.0</v>
      </c>
      <c t="str" s="15" r="F6">
        <f>20865</f>
        <v>20 865,00</v>
      </c>
      <c t="str" s="16" r="G6">
        <f>18000</f>
        <v>18 000,00</v>
      </c>
    </row>
    <row r="7">
      <c t="s" s="23" r="A7">
        <v>11</v>
      </c>
      <c s="11" r="B7"/>
      <c s="18" r="C7">
        <v>0.0</v>
      </c>
      <c s="22" r="D7">
        <v>0.0</v>
      </c>
      <c s="20" r="E7">
        <v>0.0</v>
      </c>
      <c t="str" s="15" r="F7">
        <f>780</f>
        <v>780,00</v>
      </c>
      <c t="str" s="16" r="G7">
        <f>0</f>
        <v>0,00</v>
      </c>
    </row>
    <row r="8">
      <c t="s" s="23" r="A8">
        <v>12</v>
      </c>
      <c s="11" r="B8"/>
      <c s="18" r="C8">
        <v>0.0</v>
      </c>
      <c s="22" r="D8">
        <v>0.0</v>
      </c>
      <c s="20" r="E8">
        <v>0.0</v>
      </c>
      <c t="str" s="15" r="F8">
        <f>100</f>
        <v>100,00</v>
      </c>
      <c t="str" s="16" r="G8">
        <f>0</f>
        <v>0,00</v>
      </c>
    </row>
    <row r="9">
      <c t="s" s="24" r="A9">
        <v>13</v>
      </c>
      <c s="11" r="B9"/>
      <c s="25" r="C9">
        <v>0.0</v>
      </c>
      <c s="19" r="D9">
        <v>0.0</v>
      </c>
      <c s="26" r="E9">
        <v>0.0</v>
      </c>
      <c s="27" r="F9">
        <v>0.0</v>
      </c>
      <c s="28" r="G9">
        <v>108250.0</v>
      </c>
    </row>
    <row r="10">
      <c t="s" s="29" r="A10">
        <v>14</v>
      </c>
      <c s="30" r="B10"/>
      <c t="str" s="31" r="C10">
        <f>SUM(C6:C8)</f>
        <v>15 000,00</v>
      </c>
      <c t="str" s="32" r="D10">
        <f>SUM(D5:D8)</f>
        <v>11 335,00</v>
      </c>
      <c t="str" s="33" r="E10">
        <f>SUM(E5:E8)</f>
        <v>15 000,00</v>
      </c>
      <c t="str" s="34" r="F10">
        <f>SUM(F5:F8)</f>
        <v>21 849,34</v>
      </c>
      <c t="str" s="35" r="G10">
        <f>sum(G5:G9)</f>
        <v>126 250,00</v>
      </c>
    </row>
    <row r="11">
      <c s="1" r="A11"/>
      <c s="1" r="B11"/>
      <c s="36" r="C11"/>
      <c s="37" r="D11"/>
      <c s="36" r="E11"/>
      <c s="38" r="F11"/>
      <c s="38" r="G11"/>
    </row>
    <row r="12">
      <c t="s" s="39" r="A12">
        <v>15</v>
      </c>
      <c s="40" r="B12"/>
      <c s="12" r="C12"/>
      <c s="13" r="D12"/>
      <c s="14" r="E12"/>
      <c s="41" r="F12"/>
      <c s="42" r="G12"/>
      <c s="43" r="H12"/>
    </row>
    <row r="13">
      <c t="s" s="21" r="A13">
        <v>16</v>
      </c>
      <c s="40" r="B13"/>
      <c s="18" r="C13">
        <v>10000.0</v>
      </c>
      <c t="str" s="19" r="D13">
        <f>524,5+72+80+222,4+987,33+461,25</f>
        <v>2 347,48</v>
      </c>
      <c s="20" r="E13">
        <v>10000.0</v>
      </c>
      <c t="str" s="15" r="F13">
        <f>281</f>
        <v>281,00</v>
      </c>
      <c t="str" s="16" r="G13">
        <f>10000</f>
        <v>10 000,00</v>
      </c>
      <c s="43" r="H13"/>
    </row>
    <row r="14">
      <c t="s" s="23" r="A14">
        <v>17</v>
      </c>
      <c s="40" r="B14"/>
      <c s="18" r="C14">
        <v>0.0</v>
      </c>
      <c s="22" r="D14">
        <v>0.0</v>
      </c>
      <c s="20" r="E14">
        <v>0.0</v>
      </c>
      <c t="str" s="15" r="F14">
        <f>5639</f>
        <v>5 639,00</v>
      </c>
      <c t="str" s="16" r="G14">
        <f>0</f>
        <v>0,00</v>
      </c>
      <c s="43" r="H14"/>
    </row>
    <row r="15">
      <c t="s" s="21" r="A15">
        <v>18</v>
      </c>
      <c s="40" r="B15"/>
      <c t="str" s="18" r="C15">
        <f>2000+5000</f>
        <v>7 000,00</v>
      </c>
      <c t="str" s="22" r="D15">
        <f>315,8+446,85+953,28+1483,5+2442,5+87,6+628+20+160+199</f>
        <v>6 736,53</v>
      </c>
      <c t="str" s="20" r="E15">
        <f>2000+5000+5000</f>
        <v>12 000,00</v>
      </c>
      <c t="str" s="15" r="F15">
        <f>7205</f>
        <v>7 205,00</v>
      </c>
      <c t="str" s="16" r="G15">
        <f>12000</f>
        <v>12 000,00</v>
      </c>
      <c t="s" s="44" r="H15">
        <v>19</v>
      </c>
    </row>
    <row r="16">
      <c t="s" s="24" r="A16">
        <v>20</v>
      </c>
      <c s="45" r="B16">
        <v>4.0</v>
      </c>
      <c s="18" r="C16">
        <v>30000.0</v>
      </c>
      <c s="22" r="D16">
        <v>0.0</v>
      </c>
      <c s="20" r="E16">
        <v>30000.0</v>
      </c>
      <c t="str" s="15" r="F16">
        <f>0</f>
        <v>0,00</v>
      </c>
      <c s="28" r="G16">
        <v>40000.0</v>
      </c>
      <c s="43" r="H16"/>
    </row>
    <row r="17">
      <c t="s" s="21" r="A17">
        <v>21</v>
      </c>
      <c s="46" r="B17">
        <v>1.0</v>
      </c>
      <c s="18" r="C17">
        <v>2400.0</v>
      </c>
      <c s="22" r="D17">
        <v>3713.5</v>
      </c>
      <c s="20" r="E17">
        <v>2400.0</v>
      </c>
      <c t="str" s="15" r="F17">
        <f>0</f>
        <v>0,00</v>
      </c>
      <c t="str" s="16" r="G17">
        <f>0</f>
        <v>0,00</v>
      </c>
      <c s="43" r="H17"/>
    </row>
    <row r="18">
      <c t="s" s="23" r="A18">
        <v>22</v>
      </c>
      <c s="40" r="B18"/>
      <c s="47" r="C18">
        <v>5000.0</v>
      </c>
      <c s="48" r="D18">
        <v>0.0</v>
      </c>
      <c s="49" r="E18">
        <v>5000.0</v>
      </c>
      <c t="str" s="15" r="F18">
        <f>0</f>
        <v>0,00</v>
      </c>
      <c t="str" s="16" r="G18">
        <f>0</f>
        <v>0,00</v>
      </c>
      <c s="43" r="H18"/>
    </row>
    <row r="19">
      <c t="s" s="21" r="A19">
        <v>23</v>
      </c>
      <c s="46" r="B19">
        <v>2.0</v>
      </c>
      <c s="18" r="C19">
        <v>1860.0</v>
      </c>
      <c t="str" s="22" r="D19">
        <f>205+155+155+155+155+155+300+300+300+825+300</f>
        <v>3 005,00</v>
      </c>
      <c s="20" r="E19">
        <v>3600.0</v>
      </c>
      <c t="str" s="15" r="F19">
        <f>4200</f>
        <v>4 200,00</v>
      </c>
      <c t="str" s="16" r="G19">
        <f>3600</f>
        <v>3 600,00</v>
      </c>
      <c s="43" r="H19"/>
    </row>
    <row r="20">
      <c t="s" s="23" r="A20">
        <v>24</v>
      </c>
      <c s="40" r="B20"/>
      <c s="18" r="C20">
        <v>3000.0</v>
      </c>
      <c t="str" s="22" r="D20">
        <f>99,9+329+117,8</f>
        <v>546,70</v>
      </c>
      <c s="20" r="E20">
        <v>3000.0</v>
      </c>
      <c t="str" s="15" r="F20">
        <f>108,8</f>
        <v>108,80</v>
      </c>
      <c s="28" r="G20">
        <v>4000.0</v>
      </c>
      <c t="s" s="44" r="H20">
        <v>25</v>
      </c>
    </row>
    <row r="21">
      <c t="s" s="21" r="A21">
        <v>26</v>
      </c>
      <c s="46" r="B21">
        <v>3.0</v>
      </c>
      <c s="18" r="C21">
        <v>24000.0</v>
      </c>
      <c t="str" s="22" r="D21">
        <f>3440+4050+480+1440+2700+299+1480+720+2800+510+680+2520+720+1050+1140+1410+900+40+1380+1500+700+40+59+89,9+125+129+140+201+219+219+224+245+280+760+130+213+218,14+224+59,9+155+199,5+470+119+1200</f>
        <v>35 678,44</v>
      </c>
      <c t="str" s="20" r="E21">
        <f>9*2000+E6</f>
        <v>33 000,00</v>
      </c>
      <c t="str" s="15" r="F21">
        <f>42686,14</f>
        <v>42 686,14</v>
      </c>
      <c t="str" s="28" r="G21">
        <f>1500*9+G6</f>
        <v>31 500,00</v>
      </c>
      <c t="s" s="44" r="H21">
        <v>27</v>
      </c>
    </row>
    <row r="22">
      <c t="s" s="21" r="A22">
        <v>28</v>
      </c>
      <c s="40" r="B22"/>
      <c s="18" r="C22">
        <v>10000.0</v>
      </c>
      <c t="str" s="22" r="D22">
        <f>500+2000+500+500+2878,06</f>
        <v>6 378,06</v>
      </c>
      <c s="20" r="E22">
        <v>10000.0</v>
      </c>
      <c t="str" s="15" r="F22">
        <f>3500</f>
        <v>3 500,00</v>
      </c>
      <c t="str" s="16" r="G22">
        <f>10000</f>
        <v>10 000,00</v>
      </c>
      <c s="43" r="H22"/>
    </row>
    <row r="23">
      <c t="s" s="21" r="A23">
        <v>29</v>
      </c>
      <c s="40" r="B23"/>
      <c s="18" r="C23">
        <v>0.0</v>
      </c>
      <c s="22" r="D23">
        <v>0.0</v>
      </c>
      <c s="20" r="E23">
        <v>2000.0</v>
      </c>
      <c t="str" s="15" r="F23">
        <f>0</f>
        <v>0,00</v>
      </c>
      <c t="str" s="16" r="G23">
        <f>5000</f>
        <v>5 000,00</v>
      </c>
      <c t="s" s="44" r="H23">
        <v>30</v>
      </c>
    </row>
    <row r="24">
      <c t="s" s="21" r="A24">
        <v>31</v>
      </c>
      <c s="40" r="B24"/>
      <c s="18" r="C24">
        <v>10000.0</v>
      </c>
      <c s="22" r="D24">
        <v>10000.0</v>
      </c>
      <c s="20" r="E24">
        <v>10000.0</v>
      </c>
      <c t="str" s="15" r="F24">
        <f>11600</f>
        <v>11 600,00</v>
      </c>
      <c t="str" s="16" r="G24">
        <f>6000</f>
        <v>6 000,00</v>
      </c>
      <c s="43" r="H24"/>
    </row>
    <row r="25">
      <c t="s" s="21" r="A25">
        <v>32</v>
      </c>
      <c s="40" r="B25"/>
      <c s="18" r="C25">
        <v>1000.0</v>
      </c>
      <c s="22" r="D25">
        <v>0.0</v>
      </c>
      <c s="20" r="E25">
        <v>1000.0</v>
      </c>
      <c t="str" s="15" r="F25">
        <f>0</f>
        <v>0,00</v>
      </c>
      <c t="str" s="16" r="G25">
        <f>1000</f>
        <v>1 000,00</v>
      </c>
      <c t="str" s="43" r="H25">
        <f>sum(G13:G25)</f>
        <v>123 100,00</v>
      </c>
    </row>
    <row r="26">
      <c t="s" s="21" r="A26">
        <v>33</v>
      </c>
      <c s="40" r="B26"/>
      <c s="18" r="C26">
        <v>0.0</v>
      </c>
      <c t="str" s="22" r="D26">
        <f>560+173</f>
        <v>733,00</v>
      </c>
      <c s="20" r="E26">
        <v>0.0</v>
      </c>
      <c t="str" s="15" r="F26">
        <f>766</f>
        <v>766,00</v>
      </c>
      <c s="28" r="G26">
        <v>0.0</v>
      </c>
      <c s="43" r="H26"/>
    </row>
    <row r="27">
      <c t="s" s="21" r="A27">
        <v>34</v>
      </c>
      <c s="40" r="B27"/>
      <c s="18" r="C27">
        <v>0.0</v>
      </c>
      <c t="str" s="22" r="D27">
        <f>1300+506,58</f>
        <v>1 806,58</v>
      </c>
      <c s="20" r="E27">
        <v>0.0</v>
      </c>
      <c t="str" s="27" r="F27">
        <f>1350</f>
        <v>1 350,00</v>
      </c>
      <c s="28" r="G27">
        <v>0.0</v>
      </c>
      <c s="43" r="H27"/>
    </row>
    <row r="28">
      <c t="s" s="21" r="A28">
        <v>35</v>
      </c>
      <c s="40" r="B28"/>
      <c s="18" r="C28">
        <v>0.0</v>
      </c>
      <c s="22" r="D28">
        <v>1509.0</v>
      </c>
      <c s="20" r="E28">
        <v>0.0</v>
      </c>
      <c t="str" s="15" r="F28">
        <f>1076</f>
        <v>1 076,00</v>
      </c>
      <c s="28" r="G28">
        <v>0.0</v>
      </c>
      <c s="43" r="H28"/>
    </row>
    <row r="29">
      <c t="s" s="21" r="A29">
        <v>36</v>
      </c>
      <c s="40" r="B29"/>
      <c s="18" r="C29">
        <v>0.0</v>
      </c>
      <c t="str" s="22" r="D29">
        <f>289,67+44,03+43,72+472+59,9+221,42+46,06+45,9+46,3+44,62+43,85+44,2+43,25+42,54</f>
        <v>1 487,46</v>
      </c>
      <c s="20" r="E29">
        <v>0.0</v>
      </c>
      <c t="str" s="15" r="F29">
        <f>2477,02</f>
        <v>2 477,02</v>
      </c>
      <c s="28" r="G29">
        <v>0.0</v>
      </c>
      <c s="43" r="H29"/>
    </row>
    <row r="30">
      <c t="s" s="23" r="A30">
        <v>37</v>
      </c>
      <c s="40" r="B30"/>
      <c s="18" r="C30">
        <v>0.0</v>
      </c>
      <c t="str" s="22" r="D30">
        <f>49+415</f>
        <v>464,00</v>
      </c>
      <c s="20" r="E30">
        <v>0.0</v>
      </c>
      <c t="str" s="15" r="F30">
        <f>183,01</f>
        <v>183,01</v>
      </c>
      <c s="28" r="G30">
        <v>0.0</v>
      </c>
      <c s="43" r="H30"/>
    </row>
    <row r="31">
      <c t="s" s="23" r="A31">
        <v>38</v>
      </c>
      <c s="45" r="B31">
        <v>5.0</v>
      </c>
      <c s="18" r="C31">
        <v>0.0</v>
      </c>
      <c s="22" r="D31">
        <v>0.0</v>
      </c>
      <c s="20" r="E31">
        <v>10000.0</v>
      </c>
      <c t="str" s="15" r="F31">
        <f>0</f>
        <v>0,00</v>
      </c>
      <c s="28" r="G31">
        <v>40000.0</v>
      </c>
      <c t="s" s="44" r="H31">
        <v>39</v>
      </c>
    </row>
    <row r="32">
      <c t="s" s="23" r="A32">
        <v>40</v>
      </c>
      <c s="40" r="B32"/>
      <c s="18" r="C32">
        <v>0.0</v>
      </c>
      <c s="22" r="D32">
        <v>1000.0</v>
      </c>
      <c s="20" r="E32">
        <v>2500.0</v>
      </c>
      <c t="str" s="15" r="F32">
        <f>2400</f>
        <v>2 400,00</v>
      </c>
      <c t="str" s="16" r="G32">
        <f>2500</f>
        <v>2 500,00</v>
      </c>
      <c s="43" r="H32"/>
    </row>
    <row r="33">
      <c t="s" s="50" r="A33">
        <v>41</v>
      </c>
      <c s="51" r="B33"/>
      <c s="52" r="C33">
        <v>96000.0</v>
      </c>
      <c t="str" s="53" r="D33">
        <f>7754+48750+42988+15250+12800</f>
        <v>127 542,00</v>
      </c>
      <c s="54" r="E33">
        <v>0.0</v>
      </c>
      <c t="str" s="15" r="F33">
        <f>0</f>
        <v>0,00</v>
      </c>
      <c t="str" s="16" r="G33">
        <f>G9</f>
        <v>108 250,00</v>
      </c>
      <c s="43" r="H33"/>
    </row>
    <row r="34">
      <c t="s" s="55" r="A34">
        <v>42</v>
      </c>
      <c s="56" r="B34"/>
      <c t="str" s="52" r="C34">
        <f>SUM(C13:C33)</f>
        <v>200 260,00</v>
      </c>
      <c t="str" s="53" r="D34">
        <f>SUM(D13:D33)</f>
        <v>202 947,75</v>
      </c>
      <c t="str" s="54" r="E34">
        <f>SUM(E13:E33)</f>
        <v>134 500,00</v>
      </c>
      <c t="str" s="34" r="F34">
        <f>SUM(F13:F33)</f>
        <v>83 471,97</v>
      </c>
      <c t="str" s="57" r="G34">
        <f>SUM(G13:G33)</f>
        <v>273 850,00</v>
      </c>
      <c s="43" r="H34"/>
    </row>
    <row r="35">
      <c s="3" r="A35"/>
      <c s="3" r="B35"/>
      <c s="36" r="C35"/>
      <c s="37" r="D35"/>
      <c s="36" r="E35"/>
      <c s="38" r="F35"/>
      <c s="38" r="G35"/>
    </row>
    <row r="36">
      <c t="s" s="55" r="A36">
        <v>43</v>
      </c>
      <c s="56" r="B36"/>
      <c t="str" s="52" r="C36">
        <f>C10-C34</f>
        <v>−185 260,00</v>
      </c>
      <c t="str" s="53" r="D36">
        <f>D10-D34</f>
        <v>−191 612,75</v>
      </c>
      <c t="str" s="54" r="E36">
        <f>E10-E34</f>
        <v>−119 500,00</v>
      </c>
      <c t="str" s="34" r="F36">
        <f>F10-F34</f>
        <v>−61 622,63</v>
      </c>
      <c t="str" s="35" r="G36">
        <f>G10-G34</f>
        <v>−147 600,00</v>
      </c>
    </row>
    <row r="37">
      <c s="1" r="A37"/>
      <c s="1" r="B37"/>
      <c s="1" r="C37"/>
      <c s="1" r="D37"/>
      <c s="1" r="E37"/>
    </row>
    <row r="38">
      <c t="s" s="39" r="A38">
        <v>44</v>
      </c>
      <c t="s" s="21" r="B38">
        <v>45</v>
      </c>
      <c s="1" r="C38"/>
      <c s="1" r="D38"/>
      <c s="1" r="E38"/>
    </row>
    <row r="39">
      <c s="1" r="A39"/>
      <c s="1" r="B39"/>
      <c s="1" r="C39"/>
      <c s="1" r="D39"/>
      <c s="1" r="E39"/>
    </row>
    <row r="40">
      <c t="s" s="58" r="A40">
        <v>46</v>
      </c>
      <c t="s" s="21" r="B40">
        <v>47</v>
      </c>
      <c s="1" r="C40"/>
      <c s="1" r="D40"/>
      <c s="1" r="E40"/>
    </row>
    <row r="41">
      <c s="1" r="A41"/>
      <c s="1" r="B41"/>
      <c s="1" r="C41"/>
      <c s="1" r="D41"/>
      <c s="1" r="E41"/>
    </row>
    <row r="42">
      <c t="s" s="58" r="A42">
        <v>48</v>
      </c>
      <c t="s" s="59" r="B42">
        <v>49</v>
      </c>
      <c s="1" r="C42"/>
      <c s="1" r="D42"/>
      <c s="1" r="E42"/>
    </row>
    <row r="43">
      <c s="1" r="B43"/>
      <c s="1" r="C43"/>
      <c s="1" r="D43"/>
      <c s="1" r="E43"/>
    </row>
    <row r="44">
      <c t="s" s="60" r="A44">
        <v>50</v>
      </c>
      <c t="s" s="61" r="B44">
        <v>51</v>
      </c>
    </row>
    <row r="46">
      <c t="s" s="60" r="A46">
        <v>52</v>
      </c>
      <c t="s" s="61" r="B46">
        <v>53</v>
      </c>
    </row>
    <row r="47">
      <c t="s" s="61" r="B47">
        <v>54</v>
      </c>
    </row>
  </sheetData>
  <mergeCells count="1">
    <mergeCell ref="C1:F1"/>
  </mergeCells>
  <conditionalFormatting sqref="G10">
    <cfRule priority="1" type="cellIs" operator="greaterThan" dxfId="0">
      <formula>0</formula>
    </cfRule>
  </conditionalFormatting>
  <conditionalFormatting sqref="G36">
    <cfRule priority="2" type="cellIs" operator="lessThan" dxfId="1">
      <formula>0</formula>
    </cfRule>
  </conditionalFormatting>
  <conditionalFormatting sqref="F36">
    <cfRule priority="3" type="cellIs" operator="lessThan" dxfId="1">
      <formula>0</formula>
    </cfRule>
  </conditionalFormatting>
  <conditionalFormatting sqref="F10">
    <cfRule priority="4" type="cellIs" operator="greaterThan" dxfId="0">
      <formula>0</formula>
    </cfRule>
  </conditionalFormatting>
  <conditionalFormatting sqref="C10:E10">
    <cfRule priority="5" type="cellIs" operator="greaterThan" dxfId="0">
      <formula>0</formula>
    </cfRule>
  </conditionalFormatting>
  <conditionalFormatting sqref="C36:E36">
    <cfRule priority="6" type="cellIs" operator="lessThan" dxfId="1">
      <formula>0</formula>
    </cfRule>
  </conditionalFormatting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min="1" customWidth="1" max="1" width="3.29"/>
    <col min="6" customWidth="1" max="6" width="1.0"/>
    <col min="8" customWidth="1" max="8" width="41.43"/>
    <col min="9" customWidth="1" max="9" width="6.57"/>
  </cols>
  <sheetData>
    <row r="1">
      <c s="61" r="A1"/>
      <c s="215" r="F1"/>
    </row>
    <row r="2">
      <c s="61" r="B2"/>
      <c t="s" s="61" r="C2">
        <v>376</v>
      </c>
      <c t="s" s="290" r="D2">
        <v>377</v>
      </c>
      <c t="s" s="61" r="E2">
        <v>378</v>
      </c>
      <c s="291" r="F2"/>
      <c t="s" s="292" r="G2">
        <v>379</v>
      </c>
    </row>
    <row r="3">
      <c t="s" s="293" r="B3">
        <v>380</v>
      </c>
      <c t="str" s="294" r="C3">
        <f>arrKom!E55</f>
        <v>−89 900,00</v>
      </c>
      <c t="str" s="295" r="D3">
        <f>arrKom!F55</f>
        <v>−79 519,87</v>
      </c>
      <c t="str" s="296" r="E3">
        <f>arrKom!G55</f>
        <v>−143 600,00</v>
      </c>
      <c s="297" r="F3"/>
      <c t="str" s="298" r="G3">
        <f>E3-C3</f>
        <v>−53 700,00</v>
      </c>
    </row>
    <row r="4">
      <c t="s" s="299" r="B4">
        <v>381</v>
      </c>
      <c t="str" s="300" r="C4">
        <f>Bankom!E12</f>
        <v>−15 900,00</v>
      </c>
      <c t="str" s="301" r="D4">
        <f>Bankom!F12</f>
        <v>−16 178,04</v>
      </c>
      <c t="str" s="302" r="E4">
        <f>Bankom!G12</f>
        <v>−22 000,00</v>
      </c>
      <c s="303" r="F4"/>
      <c t="str" s="304" r="G4">
        <f>E4-C4</f>
        <v>−6 100,00</v>
      </c>
      <c t="s" s="61" r="H4">
        <v>382</v>
      </c>
    </row>
    <row r="5">
      <c t="s" s="299" r="B5">
        <v>383</v>
      </c>
      <c t="str" s="305" r="C5">
        <f>bedKom!D23</f>
        <v>303 560,00</v>
      </c>
      <c t="str" s="306" r="D5">
        <f>bedKom!E23</f>
        <v>287 147,90</v>
      </c>
      <c t="str" s="307" r="E5">
        <f>bedKom!F23</f>
        <v>342 600,00</v>
      </c>
      <c s="303" r="F5"/>
      <c t="str" s="304" r="G5">
        <f>E5-C5</f>
        <v>39 040,00</v>
      </c>
      <c t="s" s="61" r="H5">
        <v>384</v>
      </c>
    </row>
    <row r="6">
      <c t="s" s="299" r="B6">
        <v>385</v>
      </c>
      <c t="str" s="305" r="C6">
        <f>dotKom!E20</f>
        <v>−21 600,00</v>
      </c>
      <c t="str" s="308" r="D6">
        <f>dotKom!F20</f>
        <v>−6 472,81</v>
      </c>
      <c t="str" s="309" r="E6">
        <f>dotKom!G20</f>
        <v>−23 500,00</v>
      </c>
      <c s="303" r="F6"/>
      <c t="str" s="304" r="G6">
        <f>E6-C6</f>
        <v>−1 900,00</v>
      </c>
    </row>
    <row r="7">
      <c t="s" s="299" r="B7">
        <v>386</v>
      </c>
      <c t="str" s="305" r="C7">
        <f>Fagkom!E30</f>
        <v>83 200,00</v>
      </c>
      <c t="str" s="308" r="D7">
        <f>Fagkom!F30</f>
        <v>163 735,87</v>
      </c>
      <c t="str" s="309" r="E7">
        <f>Fagkom!G30</f>
        <v>153 100,00</v>
      </c>
      <c s="303" r="F7"/>
      <c t="str" s="304" r="G7">
        <f>E7-C7</f>
        <v>69 900,00</v>
      </c>
      <c t="s" s="61" r="H7">
        <v>387</v>
      </c>
    </row>
    <row r="8">
      <c t="s" s="299" r="B8">
        <v>388</v>
      </c>
      <c t="str" s="305" r="C8">
        <f>HS!E36</f>
        <v>−119 500,00</v>
      </c>
      <c t="str" s="301" r="D8">
        <f>HS!F36</f>
        <v>−61 622,63</v>
      </c>
      <c t="str" s="302" r="E8">
        <f>HS!G36</f>
        <v>−147 600,00</v>
      </c>
      <c s="303" r="F8"/>
      <c t="str" s="304" r="G8">
        <f>E8-C8</f>
        <v>−28 100,00</v>
      </c>
      <c t="s" s="61" r="H8">
        <v>389</v>
      </c>
    </row>
    <row r="9">
      <c t="s" s="299" r="B9">
        <v>390</v>
      </c>
      <c t="str" s="305" r="C9">
        <f>ProKom!E29</f>
        <v>−6 567,00</v>
      </c>
      <c t="str" s="306" r="D9">
        <f>ProKom!F29</f>
        <v>−109 797,85</v>
      </c>
      <c t="str" s="307" r="E9">
        <f>ProKom!G29</f>
        <v>−14 000,00</v>
      </c>
      <c s="303" r="F9"/>
      <c t="str" s="304" r="G9">
        <f>E9-C9</f>
        <v>−7 433,00</v>
      </c>
    </row>
    <row r="10">
      <c t="s" s="299" r="B10">
        <v>391</v>
      </c>
      <c t="str" s="305" r="C10">
        <f>TriKom!E31</f>
        <v>−46 500,00</v>
      </c>
      <c t="str" s="308" r="D10">
        <f>TriKom!F31</f>
        <v>−61 495,24</v>
      </c>
      <c t="str" s="309" r="E10">
        <f>TriKom!G31</f>
        <v>−56 600,00</v>
      </c>
      <c s="303" r="F10"/>
      <c t="str" s="304" r="G10">
        <f>E10-C10</f>
        <v>−10 100,00</v>
      </c>
    </row>
    <row r="11">
      <c t="s" s="310" r="B11">
        <v>392</v>
      </c>
      <c t="str" s="311" r="C11">
        <f>VelKom!D28</f>
        <v>0,00</v>
      </c>
      <c t="str" s="312" r="D11">
        <f>VelKom!E28</f>
        <v>2 808,18</v>
      </c>
      <c t="str" s="313" r="E11">
        <f>VelKom!F28</f>
        <v>0,00</v>
      </c>
      <c s="314" r="F11"/>
      <c t="str" s="315" r="G11">
        <f>E11-C11</f>
        <v>0,00</v>
      </c>
    </row>
    <row r="12">
      <c s="316" r="D12"/>
      <c s="215" r="F12"/>
    </row>
    <row r="13">
      <c t="s" s="61" r="B13">
        <v>393</v>
      </c>
      <c t="str" s="38" r="C13">
        <f>Sum(C3:C11)</f>
        <v>86 793,00</v>
      </c>
      <c t="str" s="317" r="D13">
        <f>sum(D3:D11)</f>
        <v>118 605,51</v>
      </c>
      <c t="str" s="38" r="E13">
        <f>sum(E3:E11)</f>
        <v>88 400,00</v>
      </c>
      <c s="213" r="F13"/>
      <c t="str" s="38" r="G13">
        <f>sum(G3:G11)</f>
        <v>1 607,00</v>
      </c>
    </row>
    <row r="14">
      <c s="215" r="F14"/>
      <c s="292" r="H14"/>
    </row>
    <row r="15">
      <c t="s" s="61" r="B15">
        <v>394</v>
      </c>
      <c s="215" r="F15"/>
    </row>
    <row r="16">
      <c t="s" s="61" r="B16">
        <v>395</v>
      </c>
      <c t="s" s="61" r="C16">
        <v>396</v>
      </c>
    </row>
    <row r="17">
      <c t="s" s="61" r="B17">
        <v>397</v>
      </c>
      <c t="s" s="61" r="C17">
        <v>398</v>
      </c>
    </row>
    <row r="18">
      <c s="215" r="F18"/>
    </row>
    <row r="19">
      <c s="215" r="F19"/>
    </row>
  </sheetData>
  <mergeCells count="2">
    <mergeCell ref="C16:G16"/>
    <mergeCell ref="C17:G17"/>
  </mergeCells>
  <conditionalFormatting sqref="E3:G13">
    <cfRule priority="1" type="cellIs" operator="lessThan" dxfId="1">
      <formula>0</formula>
    </cfRule>
  </conditionalFormatting>
  <conditionalFormatting sqref="E3:G13">
    <cfRule priority="2" type="cellIs" operator="greaterThan" dxfId="2">
      <formula>0</formula>
    </cfRule>
  </conditionalFormatting>
  <conditionalFormatting sqref="C3:C13">
    <cfRule priority="3" type="cellIs" operator="lessThan" dxfId="1">
      <formula>0</formula>
    </cfRule>
  </conditionalFormatting>
  <conditionalFormatting sqref="C3:C13">
    <cfRule priority="4" type="cellIs" operator="greaterThan" dxfId="2">
      <formula>0</formula>
    </cfRule>
  </conditionalFormatting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min="1" customWidth="1" max="1" width="3.86"/>
    <col min="6" customWidth="1" max="6" width="43.86"/>
    <col min="7" customWidth="1" max="7" width="5.43"/>
  </cols>
  <sheetData>
    <row r="1">
      <c s="61" r="A1"/>
    </row>
    <row r="2">
      <c s="61" r="B2"/>
      <c t="s" s="61" r="C2">
        <v>399</v>
      </c>
      <c t="s" s="61" r="D2">
        <v>400</v>
      </c>
      <c t="s" s="292" r="E2">
        <v>401</v>
      </c>
    </row>
    <row r="3">
      <c t="s" s="140" r="B3">
        <v>402</v>
      </c>
      <c t="str" s="144" r="C3">
        <f>arrKom!D55</f>
        <v>−87 151,51</v>
      </c>
      <c t="str" s="242" r="D3">
        <f>arrKom!F55</f>
        <v>−79 519,87</v>
      </c>
      <c t="str" s="318" r="E3">
        <f>D3-C3</f>
        <v>7 631,64</v>
      </c>
    </row>
    <row r="4">
      <c t="s" s="140" r="B4">
        <v>403</v>
      </c>
      <c t="str" s="319" r="C4">
        <f>Bankom!D12</f>
        <v>−13 715,68</v>
      </c>
      <c t="str" s="320" r="D4">
        <f>Bankom!F12</f>
        <v>−16 178,04</v>
      </c>
      <c t="str" s="318" r="E4">
        <f>D4-C4</f>
        <v>−2 462,36</v>
      </c>
      <c t="s" s="61" r="F4">
        <v>404</v>
      </c>
    </row>
    <row r="5">
      <c t="s" s="140" r="B5">
        <v>405</v>
      </c>
      <c t="str" s="144" r="C5">
        <f>bedKom!C23</f>
        <v>181 688,05</v>
      </c>
      <c t="str" s="321" r="D5">
        <f>bedKom!E23</f>
        <v>287 147,90</v>
      </c>
      <c t="str" s="318" r="E5">
        <f>D5-C5</f>
        <v>105 459,85</v>
      </c>
      <c t="s" s="61" r="F5">
        <v>406</v>
      </c>
    </row>
    <row r="6">
      <c t="s" s="140" r="B6">
        <v>407</v>
      </c>
      <c t="str" s="144" r="C6">
        <f>dotKom!D20</f>
        <v>−40 219,79</v>
      </c>
      <c t="str" s="242" r="D6">
        <f>dotKom!F20</f>
        <v>−6 472,81</v>
      </c>
      <c t="str" s="318" r="E6">
        <f>D6-C6</f>
        <v>33 746,98</v>
      </c>
    </row>
    <row r="7">
      <c t="s" s="140" r="B7">
        <v>408</v>
      </c>
      <c t="str" s="144" r="C7">
        <f>Fagkom!D30</f>
        <v>−36 422,70</v>
      </c>
      <c t="str" s="242" r="D7">
        <f>Fagkom!F30</f>
        <v>163 735,87</v>
      </c>
      <c t="str" s="318" r="E7">
        <f>D7-C7</f>
        <v>200 158,57</v>
      </c>
      <c t="s" s="61" r="F7">
        <v>409</v>
      </c>
    </row>
    <row r="8">
      <c t="s" s="140" r="B8">
        <v>410</v>
      </c>
      <c t="str" s="144" r="C8">
        <f>HS!D36</f>
        <v>−191 612,75</v>
      </c>
      <c t="str" s="320" r="D8">
        <f>HS!F36</f>
        <v>−61 622,63</v>
      </c>
      <c t="str" s="318" r="E8">
        <f>D8-C8</f>
        <v>129 990,12</v>
      </c>
      <c t="s" s="61" r="F8">
        <v>411</v>
      </c>
    </row>
    <row r="9">
      <c t="s" s="140" r="B9">
        <v>412</v>
      </c>
      <c t="str" s="144" r="C9">
        <f>ProKom!D29</f>
        <v>−68 146,51</v>
      </c>
      <c t="str" s="322" r="D9">
        <f>ProKom!F29</f>
        <v>−109 797,85</v>
      </c>
      <c t="str" s="318" r="E9">
        <f>D9-C9</f>
        <v>−41 651,34</v>
      </c>
    </row>
    <row r="10">
      <c t="s" s="140" r="B10">
        <v>413</v>
      </c>
      <c t="str" s="144" r="C10">
        <f>TriKom!D31</f>
        <v>−21 489,20</v>
      </c>
      <c t="str" s="242" r="D10">
        <f>TriKom!F31</f>
        <v>−61 495,24</v>
      </c>
      <c t="str" s="318" r="E10">
        <f>D10-C10</f>
        <v>−40 006,04</v>
      </c>
    </row>
    <row r="11">
      <c t="s" s="151" r="B11">
        <v>414</v>
      </c>
      <c t="str" s="319" r="C11">
        <f>VelKom!C28</f>
        <v>676,61</v>
      </c>
      <c t="str" s="323" r="D11">
        <f>VelKom!E28</f>
        <v>2 808,18</v>
      </c>
      <c t="str" s="324" r="E11">
        <f>D11-C11</f>
        <v>2 131,57</v>
      </c>
    </row>
    <row r="13">
      <c t="s" s="61" r="B13">
        <v>415</v>
      </c>
      <c t="str" s="325" r="C13">
        <f>Sum(C3:C11)</f>
        <v>−276 393,48</v>
      </c>
      <c t="str" s="326" r="D13">
        <f>sum(D3:D11)</f>
        <v>118 605,51</v>
      </c>
      <c t="str" s="326" r="E13">
        <f>sum(E3:E11)</f>
        <v>394 998,99</v>
      </c>
    </row>
    <row r="14">
      <c s="292" r="F14"/>
    </row>
    <row r="15">
      <c t="s" s="61" r="B15">
        <v>416</v>
      </c>
    </row>
    <row r="16">
      <c t="s" s="61" r="B16">
        <v>417</v>
      </c>
      <c t="s" s="61" r="C16">
        <v>418</v>
      </c>
    </row>
    <row r="17">
      <c t="s" s="61" r="B17">
        <v>419</v>
      </c>
      <c t="s" s="61" r="C17">
        <v>420</v>
      </c>
    </row>
    <row r="18">
      <c t="s" s="61" r="B18">
        <v>421</v>
      </c>
      <c t="s" s="61" r="C18">
        <v>422</v>
      </c>
    </row>
  </sheetData>
  <conditionalFormatting sqref="C13:E13">
    <cfRule priority="1" type="cellIs" operator="greaterThan" dxfId="2">
      <formula>0</formula>
    </cfRule>
  </conditionalFormatting>
  <conditionalFormatting sqref="C13:E13">
    <cfRule priority="2" type="cellIs" operator="lessThan" dxfId="1">
      <formula>0</formula>
    </cfRule>
  </conditionalFormatting>
  <conditionalFormatting sqref="C3:E11">
    <cfRule priority="3" type="cellIs" operator="lessThan" dxfId="1">
      <formula>0</formula>
    </cfRule>
  </conditionalFormatting>
  <conditionalFormatting sqref="C3:E11">
    <cfRule priority="4" type="cellIs" operator="greaterThan" dxfId="2">
      <formula>0</formula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min="1" customWidth="1" max="1" width="24.0"/>
    <col min="2" customWidth="1" max="2" width="8.71"/>
    <col min="6" customWidth="1" max="7" width="13.86"/>
    <col min="8" customWidth="1" max="8" width="4.57"/>
    <col min="9" customWidth="1" max="9" width="13.43"/>
    <col min="10" customWidth="1" max="10" width="10.43"/>
    <col min="11" customWidth="1" max="11" width="1.0"/>
    <col min="12" customWidth="1" max="12" width="12.71"/>
  </cols>
  <sheetData>
    <row r="1">
      <c s="62" r="A1"/>
      <c s="62" r="B1"/>
      <c s="62" r="C1"/>
      <c s="62" r="D1"/>
      <c s="62" r="E1"/>
      <c s="62" r="F1"/>
    </row>
    <row r="2">
      <c s="62" r="A2"/>
      <c s="62" r="B2"/>
      <c s="63" r="C2"/>
      <c s="63" r="D2"/>
      <c s="63" r="E2"/>
      <c s="64" r="F2"/>
      <c s="65" r="G2"/>
      <c s="61" r="J2"/>
    </row>
    <row r="3">
      <c s="62" r="A3"/>
      <c s="40" r="B3"/>
      <c t="s" s="66" r="C3">
        <v>55</v>
      </c>
      <c t="s" s="67" r="D3">
        <v>56</v>
      </c>
      <c t="s" s="68" r="E3">
        <v>57</v>
      </c>
      <c t="s" s="69" r="F3">
        <v>58</v>
      </c>
      <c t="s" s="70" r="G3">
        <v>59</v>
      </c>
      <c s="71" r="H3"/>
      <c s="72" r="J3"/>
      <c s="72" r="K3"/>
      <c s="72" r="L3"/>
      <c s="61" r="M3"/>
    </row>
    <row r="4">
      <c t="s" s="73" r="A4">
        <v>60</v>
      </c>
      <c s="74" r="B4"/>
      <c s="75" r="C4"/>
      <c s="76" r="D4"/>
      <c s="77" r="E4"/>
      <c s="78" r="F4"/>
      <c s="79" r="G4"/>
      <c s="80" r="H4"/>
      <c s="81" r="J4"/>
      <c s="82" r="K4"/>
      <c s="82" r="L4"/>
      <c s="61" r="M4"/>
    </row>
    <row r="5">
      <c t="s" s="83" r="A5">
        <v>61</v>
      </c>
      <c s="84" r="B5"/>
      <c s="18" r="C5">
        <v>4000.0</v>
      </c>
      <c s="85" r="D5">
        <v>3000.0</v>
      </c>
      <c s="20" r="E5">
        <v>4000.0</v>
      </c>
      <c t="str" s="86" r="F5">
        <f>6000</f>
        <v>6 000,00</v>
      </c>
      <c s="87" r="G5">
        <v>6000.0</v>
      </c>
      <c s="80" r="H5"/>
      <c t="s" s="88" r="I5">
        <v>62</v>
      </c>
      <c t="s" s="89" r="J5">
        <v>63</v>
      </c>
      <c s="90" r="K5"/>
      <c t="s" s="90" r="L5">
        <v>64</v>
      </c>
      <c s="61" r="M5"/>
    </row>
    <row r="6">
      <c t="s" s="83" r="A6">
        <v>65</v>
      </c>
      <c s="84" r="B6"/>
      <c s="18" r="C6">
        <v>50000.0</v>
      </c>
      <c t="str" s="85" r="D6">
        <f>70400+(2*400)</f>
        <v>71 200,00</v>
      </c>
      <c s="20" r="E6">
        <v>80000.0</v>
      </c>
      <c t="str" s="86" r="F6">
        <f>78200</f>
        <v>78 200,00</v>
      </c>
      <c s="87" r="G6">
        <v>70000.0</v>
      </c>
      <c s="91" r="H6"/>
      <c t="s" s="44" r="I6">
        <v>66</v>
      </c>
      <c t="str" s="92" r="J6">
        <f>G26-G6</f>
        <v>40 000,00</v>
      </c>
      <c s="93" r="K6"/>
      <c t="str" s="93" r="L6">
        <f>J6-(E26-E6)</f>
        <v>20 000,00</v>
      </c>
    </row>
    <row r="7">
      <c t="s" s="83" r="A7">
        <v>67</v>
      </c>
      <c s="84" r="B7"/>
      <c s="18" r="C7">
        <v>32000.0</v>
      </c>
      <c s="85" r="D7">
        <v>14280.0</v>
      </c>
      <c s="20" r="E7">
        <v>30000.0</v>
      </c>
      <c t="str" s="86" r="F7">
        <f>24560,01</f>
        <v>24 560,01</v>
      </c>
      <c s="87" r="G7">
        <v>25000.0</v>
      </c>
      <c s="80" r="H7"/>
      <c t="s" s="44" r="I7">
        <v>68</v>
      </c>
      <c t="str" s="92" r="J7">
        <f>G46-G15</f>
        <v>20 000,00</v>
      </c>
      <c s="93" r="K7"/>
      <c t="str" s="93" r="L7">
        <f>J7-(E46-E15)</f>
        <v>10 000,00</v>
      </c>
    </row>
    <row r="8">
      <c t="s" s="83" r="A8">
        <v>69</v>
      </c>
      <c s="84" r="B8"/>
      <c s="18" r="C8">
        <v>500.0</v>
      </c>
      <c s="85" r="D8">
        <v>0.0</v>
      </c>
      <c s="20" r="E8">
        <v>0.0</v>
      </c>
      <c t="str" s="86" r="F8">
        <f>0</f>
        <v>0,00</v>
      </c>
      <c s="87" r="G8">
        <v>0.0</v>
      </c>
      <c s="91" r="H8"/>
      <c t="s" s="44" r="I8">
        <v>70</v>
      </c>
      <c t="str" s="92" r="J8">
        <f>G27-G7</f>
        <v>15 000,00</v>
      </c>
      <c s="93" r="K8"/>
      <c t="str" s="93" r="L8">
        <f>J8-(E27-E7)</f>
        <v>5 000,00</v>
      </c>
    </row>
    <row r="9">
      <c t="s" s="83" r="A9">
        <v>71</v>
      </c>
      <c s="84" r="B9"/>
      <c s="18" r="C9">
        <v>0.0</v>
      </c>
      <c s="85" r="D9">
        <v>3150.0</v>
      </c>
      <c s="20" r="E9">
        <v>0.0</v>
      </c>
      <c s="86" r="F9">
        <v>0.0</v>
      </c>
      <c s="94" r="G9">
        <v>0.0</v>
      </c>
      <c s="80" r="H9"/>
      <c t="s" s="44" r="I9">
        <v>72</v>
      </c>
      <c t="str" s="92" r="J9">
        <f>G41-G16</f>
        <v>7 500,00</v>
      </c>
      <c s="93" r="K9"/>
      <c t="str" s="93" r="L9">
        <f>J9-(E41-E16)</f>
        <v>7 500,00</v>
      </c>
    </row>
    <row r="10">
      <c t="s" s="83" r="A10">
        <v>73</v>
      </c>
      <c s="84" r="B10"/>
      <c s="18" r="C10">
        <v>100000.0</v>
      </c>
      <c s="85" r="D10">
        <v>1500.0</v>
      </c>
      <c s="20" r="E10">
        <v>0.0</v>
      </c>
      <c s="86" r="F10">
        <v>0.0</v>
      </c>
      <c s="94" r="G10">
        <v>0.0</v>
      </c>
      <c s="81" r="H10"/>
      <c t="s" s="44" r="I10">
        <v>74</v>
      </c>
      <c t="str" s="95" r="J10">
        <f>G42</f>
        <v>8 000,00</v>
      </c>
      <c s="95" r="K10"/>
      <c t="str" s="95" r="L10">
        <f>J10-E42</f>
        <v>0,00</v>
      </c>
    </row>
    <row r="11">
      <c t="s" s="83" r="A11">
        <v>75</v>
      </c>
      <c s="84" r="B11"/>
      <c s="18" r="C11">
        <v>0.0</v>
      </c>
      <c s="85" r="D11">
        <v>375.11</v>
      </c>
      <c s="20" r="E11">
        <v>0.0</v>
      </c>
      <c s="86" r="F11">
        <v>0.0</v>
      </c>
      <c s="94" r="G11">
        <v>0.0</v>
      </c>
    </row>
    <row r="12">
      <c t="s" s="83" r="A12">
        <v>76</v>
      </c>
      <c s="46" r="B12">
        <v>3.0</v>
      </c>
      <c s="18" r="C12">
        <v>0.0</v>
      </c>
      <c s="85" r="D12">
        <v>0.0</v>
      </c>
      <c s="20" r="E12">
        <v>5000.0</v>
      </c>
      <c s="86" r="F12">
        <v>0.0</v>
      </c>
      <c s="87" r="G12">
        <v>0.0</v>
      </c>
      <c s="81" r="H12"/>
    </row>
    <row r="13">
      <c t="s" s="83" r="A13">
        <v>77</v>
      </c>
      <c s="46" r="B13">
        <v>3.0</v>
      </c>
      <c s="18" r="C13">
        <v>0.0</v>
      </c>
      <c s="85" r="D13">
        <v>100.0</v>
      </c>
      <c s="20" r="E13">
        <v>8640.0</v>
      </c>
      <c t="str" s="86" r="F13">
        <f>2700</f>
        <v>2 700,00</v>
      </c>
      <c s="87" r="G13">
        <v>0.0</v>
      </c>
      <c s="96" r="H13"/>
    </row>
    <row customHeight="1" r="14" ht="16.5">
      <c t="s" s="83" r="A14">
        <v>78</v>
      </c>
      <c s="84" r="B14"/>
      <c s="18" r="C14">
        <v>0.0</v>
      </c>
      <c s="85" r="D14">
        <v>0.0</v>
      </c>
      <c s="20" r="E14">
        <v>27000.0</v>
      </c>
      <c t="str" s="86" r="F14">
        <f>14257</f>
        <v>14 257,00</v>
      </c>
      <c s="87" r="G14">
        <v>23120.0</v>
      </c>
      <c s="96" r="H14"/>
      <c s="43" r="I14"/>
      <c s="97" r="J14"/>
    </row>
    <row r="15">
      <c t="s" s="83" r="A15">
        <v>79</v>
      </c>
      <c s="84" r="B15"/>
      <c s="18" r="C15">
        <v>85000.0</v>
      </c>
      <c s="85" r="D15">
        <v>82216.0</v>
      </c>
      <c s="20" r="E15">
        <v>100000.0</v>
      </c>
      <c s="86" r="F15">
        <v>79980.61</v>
      </c>
      <c s="87" r="G15">
        <v>70000.0</v>
      </c>
      <c s="80" r="H15"/>
      <c s="43" r="I15"/>
      <c s="97" r="J15"/>
    </row>
    <row r="16">
      <c t="s" s="83" r="A16">
        <v>80</v>
      </c>
      <c s="84" r="B16"/>
      <c s="18" r="C16">
        <v>0.0</v>
      </c>
      <c s="85" r="D16">
        <v>0.0</v>
      </c>
      <c s="20" r="E16">
        <v>10000.0</v>
      </c>
      <c s="86" r="F16">
        <v>17650.0</v>
      </c>
      <c s="98" r="G16">
        <v>10000.0</v>
      </c>
      <c s="91" r="H16"/>
      <c s="43" r="I16"/>
      <c s="97" r="J16"/>
    </row>
    <row r="17">
      <c t="s" s="83" r="A17">
        <v>81</v>
      </c>
      <c s="84" r="B17"/>
      <c s="18" r="C17">
        <v>200.0</v>
      </c>
      <c s="85" r="D17">
        <v>0.0</v>
      </c>
      <c s="20" r="E17">
        <v>0.0</v>
      </c>
      <c s="86" r="F17">
        <v>0.0</v>
      </c>
      <c s="94" r="G17">
        <v>0.0</v>
      </c>
      <c s="80" r="H17"/>
      <c s="43" r="I17"/>
      <c s="97" r="J17"/>
    </row>
    <row r="18">
      <c t="s" s="83" r="A18">
        <v>82</v>
      </c>
      <c s="46" r="B18">
        <v>3.0</v>
      </c>
      <c s="18" r="C18">
        <v>0.0</v>
      </c>
      <c s="85" r="D18">
        <v>160.0</v>
      </c>
      <c s="20" r="E18">
        <v>0.0</v>
      </c>
      <c t="str" s="99" r="F18">
        <f>1575</f>
        <v>1 575,00</v>
      </c>
      <c s="87" r="G18">
        <v>0.0</v>
      </c>
      <c s="96" r="H18"/>
      <c s="43" r="I18"/>
      <c s="43" r="J18"/>
    </row>
    <row r="19">
      <c t="s" s="83" r="A19">
        <v>83</v>
      </c>
      <c s="84" r="B19"/>
      <c s="18" r="C19">
        <v>0.0</v>
      </c>
      <c t="str" s="85" r="D19">
        <f>2345+250</f>
        <v>2 595,00</v>
      </c>
      <c s="20" r="E19">
        <v>5000.0</v>
      </c>
      <c s="100" r="F19">
        <v>2255.0</v>
      </c>
      <c s="87" r="G19">
        <v>2500.0</v>
      </c>
      <c s="96" r="H19"/>
      <c s="43" r="I19"/>
      <c s="43" r="J19"/>
    </row>
    <row r="20">
      <c t="s" s="101" r="A20">
        <v>84</v>
      </c>
      <c s="46" r="B20">
        <v>3.0</v>
      </c>
      <c s="25" r="C20">
        <v>0.0</v>
      </c>
      <c s="102" r="D20">
        <v>0.0</v>
      </c>
      <c s="26" r="E20">
        <v>0.0</v>
      </c>
      <c s="100" r="F20">
        <v>2250.0</v>
      </c>
      <c s="94" r="G20">
        <v>0.0</v>
      </c>
      <c s="103" r="H20"/>
      <c s="44" r="I20"/>
      <c s="43" r="J20"/>
    </row>
    <row r="21">
      <c t="s" s="83" r="A21">
        <v>85</v>
      </c>
      <c s="84" r="B21"/>
      <c s="18" r="C21">
        <v>2000.0</v>
      </c>
      <c s="85" r="D21">
        <v>0.0</v>
      </c>
      <c s="20" r="E21">
        <v>1000.0</v>
      </c>
      <c s="100" r="F21">
        <v>0.0</v>
      </c>
      <c s="87" r="G21">
        <v>1000.0</v>
      </c>
      <c s="80" r="H21"/>
      <c s="44" r="I21"/>
      <c s="43" r="J21"/>
    </row>
    <row r="22">
      <c t="s" s="104" r="A22">
        <v>86</v>
      </c>
      <c s="105" r="B22"/>
      <c t="str" s="31" r="C22">
        <f>SUM(C5:C21)</f>
        <v>273 700,00</v>
      </c>
      <c t="str" s="106" r="D22">
        <f>SUM(D5:D21)</f>
        <v>178 576,11</v>
      </c>
      <c t="str" s="33" r="E22">
        <f>SUM(E5:E21)</f>
        <v>270 640,00</v>
      </c>
      <c t="str" s="107" r="F22">
        <f>SUM(F5:F21)</f>
        <v>229 427,62</v>
      </c>
      <c t="str" s="108" r="G22">
        <f>SUM(G5:G21)</f>
        <v>207 620,00</v>
      </c>
      <c s="80" r="H22"/>
      <c s="44" r="I22"/>
      <c s="43" r="J22"/>
    </row>
    <row r="23">
      <c s="62" r="A23"/>
      <c s="40" r="B23"/>
      <c s="109" r="C23"/>
      <c s="109" r="D23"/>
      <c s="109" r="E23"/>
      <c s="95" r="F23"/>
      <c s="95" r="G23"/>
      <c s="61" r="I23"/>
      <c s="61" r="K23"/>
      <c s="61" r="L23"/>
      <c s="61" r="M23"/>
    </row>
    <row r="24">
      <c t="s" s="73" r="A24">
        <v>87</v>
      </c>
      <c s="74" r="B24"/>
      <c t="s" s="5" r="C24">
        <v>88</v>
      </c>
      <c t="s" s="110" r="D24">
        <v>89</v>
      </c>
      <c t="s" s="7" r="E24">
        <v>90</v>
      </c>
      <c t="s" s="111" r="F24">
        <v>91</v>
      </c>
      <c t="s" s="112" r="G24">
        <v>92</v>
      </c>
      <c s="65" r="H24"/>
      <c s="82" r="I24"/>
      <c s="113" r="J24"/>
      <c s="82" r="K24"/>
      <c s="82" r="L24"/>
    </row>
    <row r="25">
      <c t="s" s="83" r="A25">
        <v>93</v>
      </c>
      <c s="84" r="B25"/>
      <c s="18" r="C25">
        <v>7000.0</v>
      </c>
      <c s="85" r="D25">
        <v>10682.0</v>
      </c>
      <c s="20" r="E25">
        <v>8000.0</v>
      </c>
      <c t="str" s="86" r="F25">
        <f>9848</f>
        <v>9 848,00</v>
      </c>
      <c s="87" r="G25">
        <v>10000.0</v>
      </c>
      <c s="80" r="H25"/>
      <c s="82" r="I25"/>
      <c s="113" r="J25"/>
      <c s="82" r="K25"/>
      <c s="82" r="L25"/>
    </row>
    <row r="26">
      <c t="s" s="83" r="A26">
        <v>94</v>
      </c>
      <c s="84" r="B26"/>
      <c s="18" r="C26">
        <v>60000.0</v>
      </c>
      <c s="85" r="D26">
        <v>98023.0</v>
      </c>
      <c s="20" r="E26">
        <v>100000.0</v>
      </c>
      <c t="str" s="86" r="F26">
        <f>107477</f>
        <v>107 477,00</v>
      </c>
      <c s="87" r="G26">
        <v>110000.0</v>
      </c>
      <c s="80" r="H26"/>
      <c s="82" r="I26"/>
      <c s="113" r="J26"/>
      <c s="82" r="K26"/>
      <c s="82" r="L26"/>
    </row>
    <row r="27">
      <c t="s" s="83" r="A27">
        <v>95</v>
      </c>
      <c s="84" r="B27"/>
      <c s="18" r="C27">
        <v>40000.0</v>
      </c>
      <c s="85" r="D27">
        <v>27370.55</v>
      </c>
      <c s="20" r="E27">
        <v>40000.0</v>
      </c>
      <c t="str" s="86" r="F27">
        <f>39178</f>
        <v>39 178,00</v>
      </c>
      <c s="87" r="G27">
        <v>40000.0</v>
      </c>
      <c s="80" r="H27"/>
      <c s="82" r="I27"/>
      <c s="113" r="J27"/>
      <c s="82" r="K27"/>
      <c s="82" r="L27"/>
    </row>
    <row r="28">
      <c t="s" s="83" r="A28">
        <v>96</v>
      </c>
      <c s="46" r="B28">
        <v>1.0</v>
      </c>
      <c s="18" r="C28">
        <v>500.0</v>
      </c>
      <c s="85" r="D28">
        <v>1748.65</v>
      </c>
      <c s="20" r="E28">
        <v>500.0</v>
      </c>
      <c s="86" r="F28">
        <v>0.0</v>
      </c>
      <c s="87" r="G28">
        <v>0.0</v>
      </c>
      <c s="81" r="H28"/>
      <c s="82" r="I28"/>
      <c s="113" r="J28"/>
      <c s="82" r="K28"/>
      <c s="82" r="L28"/>
    </row>
    <row r="29">
      <c t="s" s="83" r="A29">
        <v>97</v>
      </c>
      <c s="84" r="B29"/>
      <c s="18" r="C29">
        <v>0.0</v>
      </c>
      <c s="85" r="D29">
        <v>1468.0</v>
      </c>
      <c s="20" r="E29">
        <v>0.0</v>
      </c>
      <c s="86" r="F29">
        <v>0.0</v>
      </c>
      <c s="94" r="G29">
        <v>0.0</v>
      </c>
      <c s="80" r="H29"/>
      <c s="82" r="I29"/>
      <c s="113" r="J29"/>
      <c s="82" r="K29"/>
      <c s="82" r="L29"/>
    </row>
    <row r="30">
      <c t="s" s="83" r="A30">
        <v>98</v>
      </c>
      <c s="84" r="B30"/>
      <c s="18" r="C30">
        <v>100000.0</v>
      </c>
      <c s="85" r="D30">
        <v>0.0</v>
      </c>
      <c s="20" r="E30">
        <v>0.0</v>
      </c>
      <c s="86" r="F30">
        <v>0.0</v>
      </c>
      <c s="94" r="G30">
        <v>0.0</v>
      </c>
      <c s="80" r="H30"/>
      <c s="82" r="I30"/>
      <c s="113" r="J30"/>
      <c s="82" r="K30"/>
      <c s="82" r="L30"/>
    </row>
    <row r="31">
      <c t="s" s="83" r="A31">
        <v>99</v>
      </c>
      <c s="84" r="B31"/>
      <c s="18" r="C31">
        <v>2050.0</v>
      </c>
      <c s="85" r="D31">
        <v>3428.0</v>
      </c>
      <c s="20" r="E31">
        <v>2200.0</v>
      </c>
      <c t="str" s="86" r="F31">
        <f>3557</f>
        <v>3 557,00</v>
      </c>
      <c s="87" r="G31">
        <v>2200.0</v>
      </c>
      <c s="81" r="H31"/>
      <c s="82" r="I31"/>
      <c s="113" r="J31"/>
      <c s="82" r="K31"/>
      <c s="82" r="L31"/>
    </row>
    <row r="32">
      <c t="s" s="83" r="A32">
        <v>100</v>
      </c>
      <c s="84" r="B32"/>
      <c s="18" r="C32">
        <v>2000.0</v>
      </c>
      <c s="85" r="D32">
        <v>4781.25</v>
      </c>
      <c s="20" r="E32">
        <v>2000.0</v>
      </c>
      <c s="86" r="F32">
        <v>0.0</v>
      </c>
      <c s="87" r="G32">
        <v>0.0</v>
      </c>
      <c s="80" r="H32"/>
      <c s="82" r="I32"/>
      <c s="114" r="J32"/>
      <c s="82" r="K32"/>
      <c s="82" r="L32"/>
    </row>
    <row r="33">
      <c t="s" s="83" r="A33">
        <v>101</v>
      </c>
      <c s="84" r="B33"/>
      <c s="18" r="C33">
        <v>500.0</v>
      </c>
      <c s="85" r="D33">
        <v>0.0</v>
      </c>
      <c s="20" r="E33">
        <v>1000.0</v>
      </c>
      <c s="86" r="F33">
        <v>0.0</v>
      </c>
      <c s="94" r="G33">
        <v>0.0</v>
      </c>
      <c s="81" r="H33"/>
      <c s="82" r="I33"/>
      <c s="113" r="J33"/>
      <c s="82" r="K33"/>
      <c s="82" r="L33"/>
    </row>
    <row r="34">
      <c t="s" s="83" r="A34">
        <v>102</v>
      </c>
      <c s="84" r="B34"/>
      <c s="18" r="C34">
        <v>2200.0</v>
      </c>
      <c s="85" r="D34">
        <v>1432.6</v>
      </c>
      <c s="20" r="E34">
        <v>2400.0</v>
      </c>
      <c t="str" s="86" r="F34">
        <f>2505,41</f>
        <v>2 505,41</v>
      </c>
      <c s="87" r="G34">
        <v>2400.0</v>
      </c>
      <c s="72" r="H34"/>
      <c s="82" r="I34"/>
      <c s="113" r="J34"/>
      <c s="82" r="K34"/>
      <c s="82" r="L34"/>
    </row>
    <row r="35">
      <c t="s" s="83" r="A35">
        <v>103</v>
      </c>
      <c s="84" r="B35"/>
      <c s="18" r="C35">
        <v>0.0</v>
      </c>
      <c s="85" r="D35">
        <v>0.0</v>
      </c>
      <c s="20" r="E35">
        <v>0.0</v>
      </c>
      <c s="86" r="F35">
        <v>0.0</v>
      </c>
      <c s="94" r="G35">
        <v>0.0</v>
      </c>
      <c s="80" r="H35"/>
      <c s="82" r="I35"/>
      <c s="113" r="J35"/>
      <c s="82" r="K35"/>
      <c s="82" r="L35"/>
    </row>
    <row r="36">
      <c t="s" s="83" r="A36">
        <v>104</v>
      </c>
      <c s="46" r="B36">
        <v>3.0</v>
      </c>
      <c s="18" r="C36">
        <v>7000.0</v>
      </c>
      <c s="85" r="D36">
        <v>0.0</v>
      </c>
      <c s="20" r="E36">
        <v>7000.0</v>
      </c>
      <c s="86" r="F36">
        <v>0.0</v>
      </c>
      <c s="87" r="G36">
        <v>20000.0</v>
      </c>
      <c s="72" r="H36"/>
      <c s="82" r="I36"/>
      <c s="113" r="J36"/>
      <c s="82" r="K36"/>
      <c s="82" r="L36"/>
    </row>
    <row r="37">
      <c t="s" s="101" r="A37">
        <v>105</v>
      </c>
      <c s="46" r="B37">
        <v>3.0</v>
      </c>
      <c s="25" r="C37">
        <v>0.0</v>
      </c>
      <c s="102" r="D37">
        <v>0.0</v>
      </c>
      <c s="26" r="E37">
        <v>0.0</v>
      </c>
      <c s="86" r="F37">
        <v>0.0</v>
      </c>
      <c s="87" r="G37">
        <v>15000.0</v>
      </c>
      <c s="115" r="H37"/>
      <c s="80" r="I37"/>
      <c s="113" r="J37"/>
      <c s="82" r="K37"/>
      <c s="82" r="L37"/>
    </row>
    <row r="38">
      <c t="s" s="83" r="A38">
        <v>106</v>
      </c>
      <c s="84" r="B38"/>
      <c s="18" r="C38">
        <v>0.0</v>
      </c>
      <c s="85" r="D38">
        <v>2571.0</v>
      </c>
      <c s="20" r="E38">
        <v>27000.0</v>
      </c>
      <c t="str" s="86" r="F38">
        <f>16165</f>
        <v>16 165,00</v>
      </c>
      <c s="116" r="G38">
        <v>23120.0</v>
      </c>
      <c t="s" s="96" r="H38">
        <v>107</v>
      </c>
    </row>
    <row r="39">
      <c t="s" s="83" r="A39">
        <v>108</v>
      </c>
      <c s="84" r="B39"/>
      <c s="18" r="C39">
        <v>0.0</v>
      </c>
      <c s="85" r="D39">
        <v>0.0</v>
      </c>
      <c s="20" r="E39">
        <v>7500.0</v>
      </c>
      <c s="86" r="F39">
        <v>0.0</v>
      </c>
      <c s="87" r="G39">
        <v>0.0</v>
      </c>
      <c s="81" r="H39"/>
    </row>
    <row r="40">
      <c t="s" s="83" r="A40">
        <v>109</v>
      </c>
      <c s="84" r="B40"/>
      <c s="18" r="C40">
        <v>0.0</v>
      </c>
      <c s="85" r="D40">
        <v>375.11</v>
      </c>
      <c s="20" r="E40">
        <v>0.0</v>
      </c>
      <c s="86" r="F40">
        <v>0.0</v>
      </c>
      <c s="94" r="G40">
        <v>0.0</v>
      </c>
      <c s="80" r="H40"/>
    </row>
    <row r="41">
      <c t="s" s="83" r="A41">
        <v>110</v>
      </c>
      <c s="84" r="B41"/>
      <c s="18" r="C41">
        <v>0.0</v>
      </c>
      <c s="85" r="D41">
        <v>0.0</v>
      </c>
      <c s="20" r="E41">
        <v>10000.0</v>
      </c>
      <c t="str" s="86" r="F41">
        <f>19100</f>
        <v>19 100,00</v>
      </c>
      <c s="87" r="G41">
        <v>17500.0</v>
      </c>
      <c s="96" r="H41"/>
    </row>
    <row r="42">
      <c t="s" s="83" r="A42">
        <v>111</v>
      </c>
      <c s="84" r="B42"/>
      <c s="18" r="C42">
        <v>7000.0</v>
      </c>
      <c s="85" r="D42">
        <v>7000.0</v>
      </c>
      <c s="20" r="E42">
        <v>8000.0</v>
      </c>
      <c t="str" s="86" r="F42">
        <f>5500</f>
        <v>5 500,00</v>
      </c>
      <c s="87" r="G42">
        <v>8000.0</v>
      </c>
      <c t="s" s="81" r="H42">
        <v>112</v>
      </c>
    </row>
    <row r="43">
      <c t="s" s="83" r="A43">
        <v>113</v>
      </c>
      <c s="84" r="B43"/>
      <c s="18" r="C43">
        <v>0.0</v>
      </c>
      <c s="85" r="D43">
        <v>0.0</v>
      </c>
      <c s="20" r="E43">
        <v>10000.0</v>
      </c>
      <c t="str" s="86" r="F43">
        <f>10522-1650</f>
        <v>8 872,00</v>
      </c>
      <c s="87" r="G43">
        <v>5000.0</v>
      </c>
      <c t="s" s="117" r="H43">
        <v>114</v>
      </c>
      <c s="117" r="K43"/>
      <c s="117" r="L43"/>
    </row>
    <row r="44">
      <c t="s" s="101" r="A44">
        <v>115</v>
      </c>
      <c s="46" r="B44"/>
      <c s="25" r="C44">
        <v>0.0</v>
      </c>
      <c s="102" r="D44">
        <v>0.0</v>
      </c>
      <c s="26" r="E44">
        <v>0.0</v>
      </c>
      <c t="str" s="118" r="F44">
        <f>4561</f>
        <v>4 561,00</v>
      </c>
      <c s="94" r="G44">
        <v>0.0</v>
      </c>
      <c s="114" r="H44"/>
    </row>
    <row r="45">
      <c t="s" s="83" r="A45">
        <v>116</v>
      </c>
      <c s="84" r="B45"/>
      <c s="18" r="C45">
        <v>0.0</v>
      </c>
      <c s="85" r="D45">
        <v>900.0</v>
      </c>
      <c s="20" r="E45">
        <v>13440.0</v>
      </c>
      <c t="str" s="86" r="F45">
        <f>2300</f>
        <v>2 300,00</v>
      </c>
      <c s="87" r="G45">
        <v>0.0</v>
      </c>
      <c s="80" r="H45"/>
    </row>
    <row r="46">
      <c t="s" s="83" r="A46">
        <v>117</v>
      </c>
      <c s="84" r="B46"/>
      <c s="18" r="C46">
        <v>85000.0</v>
      </c>
      <c t="str" s="85" r="D46">
        <f>47950+53166,25</f>
        <v>101 116,25</v>
      </c>
      <c s="20" r="E46">
        <v>110000.0</v>
      </c>
      <c t="str" s="86" r="F46">
        <f>84950,08</f>
        <v>84 950,08</v>
      </c>
      <c s="87" r="G46">
        <v>90000.0</v>
      </c>
      <c s="96" r="H46"/>
    </row>
    <row r="47">
      <c t="s" s="83" r="A47">
        <v>118</v>
      </c>
      <c s="84" r="B47"/>
      <c s="18" r="C47">
        <v>1000.0</v>
      </c>
      <c s="85" r="D47">
        <v>0.0</v>
      </c>
      <c s="20" r="E47">
        <v>1000.0</v>
      </c>
      <c s="86" r="F47">
        <v>0.0</v>
      </c>
      <c s="87" r="G47">
        <v>0.0</v>
      </c>
      <c s="119" r="H47"/>
      <c s="82" r="I47"/>
    </row>
    <row r="48">
      <c t="s" s="83" r="A48">
        <v>119</v>
      </c>
      <c s="84" r="B48"/>
      <c s="18" r="C48">
        <v>0.0</v>
      </c>
      <c s="85" r="D48">
        <v>906.1</v>
      </c>
      <c s="20" r="E48">
        <v>0.0</v>
      </c>
      <c s="86" r="F48">
        <v>0.0</v>
      </c>
      <c s="94" r="G48">
        <v>0.0</v>
      </c>
      <c s="80" r="H48"/>
    </row>
    <row r="49">
      <c t="s" s="83" r="A49">
        <v>120</v>
      </c>
      <c s="84" r="B49"/>
      <c s="18" r="C49">
        <v>0.0</v>
      </c>
      <c s="85" r="D49">
        <v>375.11</v>
      </c>
      <c s="20" r="E49">
        <v>1000.0</v>
      </c>
      <c s="86" r="F49">
        <v>0.0</v>
      </c>
      <c s="87" r="G49">
        <v>0.0</v>
      </c>
      <c s="80" r="H49"/>
    </row>
    <row r="50">
      <c t="s" s="83" r="A50">
        <v>121</v>
      </c>
      <c s="46" r="B50">
        <v>4.0</v>
      </c>
      <c s="18" r="C50">
        <v>0.0</v>
      </c>
      <c t="str" s="85" r="D50">
        <f>700*2 + 400*2 + 100 + 250</f>
        <v>2 550,00</v>
      </c>
      <c s="20" r="E50">
        <v>6500.0</v>
      </c>
      <c t="str" s="86" r="F50">
        <f>3934</f>
        <v>3 934,00</v>
      </c>
      <c s="87" r="G50">
        <v>5000.0</v>
      </c>
      <c s="96" r="H50"/>
    </row>
    <row r="51">
      <c t="s" s="83" r="A51">
        <v>122</v>
      </c>
      <c s="84" r="B51"/>
      <c s="18" r="C51">
        <v>0.0</v>
      </c>
      <c s="85" r="D51">
        <v>0.0</v>
      </c>
      <c s="20" r="E51">
        <v>2000.0</v>
      </c>
      <c s="86" r="F51">
        <v>0.0</v>
      </c>
      <c s="87" r="G51">
        <v>2000.0</v>
      </c>
      <c t="s" s="81" r="H51">
        <v>123</v>
      </c>
    </row>
    <row r="52">
      <c t="s" s="83" r="A52">
        <v>124</v>
      </c>
      <c s="46" r="B52">
        <v>2.0</v>
      </c>
      <c s="18" r="C52">
        <v>0.0</v>
      </c>
      <c s="85" r="D52">
        <v>1000.0</v>
      </c>
      <c s="20" r="E52">
        <v>1000.0</v>
      </c>
      <c s="86" r="F52">
        <v>1000.0</v>
      </c>
      <c s="87" r="G52">
        <v>1000.0</v>
      </c>
      <c s="72" r="H52"/>
    </row>
    <row r="53">
      <c t="s" s="120" r="A53">
        <v>125</v>
      </c>
      <c s="121" r="B53"/>
      <c t="str" s="122" r="C53">
        <f>SUM(C25:C52)</f>
        <v>314 250,00</v>
      </c>
      <c t="str" s="123" r="D53">
        <f>SUM(D25:D52)</f>
        <v>265 727,62</v>
      </c>
      <c t="str" s="122" r="E53">
        <f>SUM(E25:E52)</f>
        <v>360 540,00</v>
      </c>
      <c t="str" s="124" r="F53">
        <f>SUM(F25:F52)</f>
        <v>308 947,49</v>
      </c>
      <c t="str" s="125" r="G53">
        <f>SUM(G25:G52)</f>
        <v>351 220,00</v>
      </c>
      <c s="61" r="H53"/>
    </row>
    <row r="54">
      <c s="62" r="A54"/>
      <c s="126" r="B54"/>
      <c s="127" r="C54"/>
      <c s="13" r="D54"/>
      <c s="13" r="E54"/>
      <c s="128" r="F54"/>
      <c s="129" r="G54"/>
    </row>
    <row r="55">
      <c t="s" s="130" r="A55">
        <v>126</v>
      </c>
      <c s="131" r="B55"/>
      <c t="str" s="132" r="C55">
        <f>C22-C53</f>
        <v>−40 550,00</v>
      </c>
      <c t="str" s="132" r="D55">
        <f>D22-D53</f>
        <v>−87 151,51</v>
      </c>
      <c t="str" s="132" r="E55">
        <f>E22-E53</f>
        <v>−89 900,00</v>
      </c>
      <c t="str" s="133" r="F55">
        <f>F22-F53</f>
        <v>−79 519,87</v>
      </c>
      <c t="str" s="134" r="G55">
        <f>G22-G53</f>
        <v>−143 600,00</v>
      </c>
      <c s="89" r="H55"/>
    </row>
    <row r="56">
      <c s="80" r="G56"/>
      <c s="135" r="H56"/>
    </row>
    <row r="57">
      <c t="s" s="60" r="A57">
        <v>127</v>
      </c>
      <c s="60" r="B57"/>
    </row>
    <row r="58">
      <c t="s" s="61" r="A58">
        <v>128</v>
      </c>
      <c s="61" r="B58"/>
    </row>
    <row r="59">
      <c t="s" s="61" r="A59">
        <v>129</v>
      </c>
      <c s="61" r="B59"/>
    </row>
    <row r="61">
      <c t="s" s="60" r="A61">
        <v>130</v>
      </c>
      <c s="60" r="B61"/>
    </row>
    <row r="62">
      <c t="s" s="61" r="A62">
        <v>131</v>
      </c>
      <c s="61" r="B62"/>
    </row>
    <row r="63">
      <c t="s" s="61" r="A63">
        <v>132</v>
      </c>
      <c s="61" r="B63"/>
    </row>
    <row r="65">
      <c t="s" s="60" r="A65">
        <v>133</v>
      </c>
    </row>
    <row r="66">
      <c t="s" s="61" r="A66">
        <v>134</v>
      </c>
    </row>
    <row r="67">
      <c t="s" s="61" r="A67">
        <v>135</v>
      </c>
    </row>
    <row r="68">
      <c t="s" s="61" r="A68">
        <v>136</v>
      </c>
    </row>
    <row r="69">
      <c s="61" r="A69"/>
    </row>
  </sheetData>
  <mergeCells count="4">
    <mergeCell ref="H42:L42"/>
    <mergeCell ref="H38:L38"/>
    <mergeCell ref="H43:J43"/>
    <mergeCell ref="H51:J51"/>
  </mergeCells>
  <conditionalFormatting sqref="F22">
    <cfRule priority="1" type="cellIs" operator="greaterThan" dxfId="0">
      <formula>0</formula>
    </cfRule>
  </conditionalFormatting>
  <conditionalFormatting sqref="C22:E22 G22">
    <cfRule priority="2" type="cellIs" operator="greaterThan" dxfId="0">
      <formula>0</formula>
    </cfRule>
  </conditionalFormatting>
  <conditionalFormatting sqref="C55:G55">
    <cfRule priority="3" type="cellIs" operator="lessThan" dxfId="1">
      <formula>0</formula>
    </cfRule>
  </conditionalFormatting>
  <conditionalFormatting sqref="F55">
    <cfRule priority="4" type="cellIs" operator="greaterThan" dxfId="2">
      <formula>0</formula>
    </cfRule>
  </conditionalFormatting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min="1" customWidth="1" max="1" width="23.14"/>
  </cols>
  <sheetData>
    <row r="1">
      <c s="1" r="A1"/>
      <c s="1" r="B1"/>
      <c t="s" s="136" r="C1">
        <v>137</v>
      </c>
      <c s="1" r="D1"/>
      <c s="1" r="E1"/>
    </row>
    <row r="2">
      <c s="1" r="A2"/>
      <c s="1" r="B2"/>
      <c s="3" r="C2"/>
      <c s="3" r="D2"/>
      <c s="3" r="E2"/>
    </row>
    <row r="3">
      <c s="11" r="A3"/>
      <c t="s" s="137" r="B3">
        <v>138</v>
      </c>
      <c t="s" s="138" r="C3">
        <v>139</v>
      </c>
      <c t="s" s="139" r="D3">
        <v>140</v>
      </c>
      <c t="s" s="138" r="E3">
        <v>141</v>
      </c>
      <c t="s" s="139" r="F3">
        <v>142</v>
      </c>
      <c t="s" s="138" r="G3">
        <v>143</v>
      </c>
    </row>
    <row r="4">
      <c t="s" s="140" r="A4">
        <v>144</v>
      </c>
      <c s="140" r="B4"/>
      <c s="141" r="C4"/>
      <c s="142" r="D4"/>
      <c s="141" r="E4"/>
      <c s="15" r="F4"/>
      <c s="16" r="G4"/>
    </row>
    <row r="5">
      <c t="s" s="143" r="A5">
        <v>145</v>
      </c>
      <c s="143" r="B5"/>
      <c s="144" r="C5">
        <v>1000.0</v>
      </c>
      <c t="str" s="145" r="D5">
        <f>29+43+95+30</f>
        <v>197,00</v>
      </c>
      <c s="144" r="E5">
        <v>500.0</v>
      </c>
      <c s="27" r="F5">
        <v>0.0</v>
      </c>
      <c s="28" r="G5">
        <v>500.0</v>
      </c>
    </row>
    <row r="6">
      <c t="s" s="143" r="A6">
        <v>146</v>
      </c>
      <c s="143" r="B6"/>
      <c s="144" r="C6">
        <v>2000.0</v>
      </c>
      <c t="str" s="145" r="D6">
        <f>882,58+349+534,29</f>
        <v>1 765,87</v>
      </c>
      <c s="144" r="E6">
        <v>2000.0</v>
      </c>
      <c t="str" s="15" r="F6">
        <f>670,66+282,34+11,7+96</f>
        <v>1 060,70</v>
      </c>
      <c s="28" r="G6">
        <v>2000.0</v>
      </c>
    </row>
    <row r="7">
      <c t="s" s="143" r="A7">
        <v>147</v>
      </c>
      <c s="143" r="B7"/>
      <c s="144" r="C7">
        <v>0.0</v>
      </c>
      <c t="str" s="145" r="D7">
        <f>169,5+148+200+355,5+285+2,5+2,5+304,5+262,5+244,5+321+394,5+501+522,5</f>
        <v>3 713,50</v>
      </c>
      <c s="144" r="E7">
        <v>3800.0</v>
      </c>
      <c t="str" s="27" r="F7">
        <f>6994,06+299,28</f>
        <v>7 293,34</v>
      </c>
      <c s="28" r="G7">
        <v>7000.0</v>
      </c>
    </row>
    <row r="8">
      <c t="s" s="146" r="A8">
        <v>148</v>
      </c>
      <c t="s" s="147" r="B8">
        <v>149</v>
      </c>
      <c s="144" r="C8">
        <v>11200.0</v>
      </c>
      <c t="str" s="145" r="D8">
        <f>562+1088+833+5026,31</f>
        <v>7 509,31</v>
      </c>
      <c s="144" r="E8">
        <v>9000.0</v>
      </c>
      <c s="27" r="F8">
        <v>7824.0</v>
      </c>
      <c s="28" r="G8">
        <v>12000.0</v>
      </c>
    </row>
    <row r="9">
      <c t="s" s="148" r="A9">
        <v>150</v>
      </c>
      <c s="148" r="B9"/>
      <c s="149" r="C9">
        <v>0.0</v>
      </c>
      <c t="str" s="150" r="D9">
        <f>371+159</f>
        <v>530,00</v>
      </c>
      <c s="149" r="E9">
        <v>600.0</v>
      </c>
      <c s="27" r="F9">
        <v>0.0</v>
      </c>
      <c s="28" r="G9">
        <v>500.0</v>
      </c>
    </row>
    <row r="10">
      <c t="s" s="151" r="A10">
        <v>151</v>
      </c>
      <c s="151" r="B10"/>
      <c t="str" s="149" r="C10">
        <f>sum(C5:C9)</f>
        <v>14 200,00</v>
      </c>
      <c t="str" s="150" r="D10">
        <f>sum(D5:D9)</f>
        <v>13 715,68</v>
      </c>
      <c t="str" s="149" r="E10">
        <f>sum(E5:E9)</f>
        <v>15 900,00</v>
      </c>
      <c t="str" s="152" r="F10">
        <f>sum(F5:F9)</f>
        <v>16 178,04</v>
      </c>
      <c t="str" s="57" r="G10">
        <f>sum(G5:G9)</f>
        <v>22 000,00</v>
      </c>
    </row>
    <row r="11">
      <c s="1" r="A11"/>
      <c s="1" r="B11"/>
      <c s="153" r="C11"/>
      <c s="153" r="D11"/>
      <c s="153" r="E11"/>
      <c s="38" r="F11"/>
      <c s="38" r="G11"/>
    </row>
    <row r="12">
      <c t="s" s="154" r="A12">
        <v>152</v>
      </c>
      <c s="155" r="B12"/>
      <c t="str" s="156" r="C12">
        <f>-C10</f>
        <v>−14 200,00</v>
      </c>
      <c t="str" s="156" r="D12">
        <f>-D10</f>
        <v>−13 715,68</v>
      </c>
      <c t="str" s="156" r="E12">
        <f>-E10</f>
        <v>−15 900,00</v>
      </c>
      <c t="str" s="156" r="F12">
        <f>-F10</f>
        <v>−16 178,04</v>
      </c>
      <c t="str" s="156" r="G12">
        <f>-G10</f>
        <v>−22 000,00</v>
      </c>
    </row>
    <row r="14">
      <c t="s" s="60" r="A14">
        <v>153</v>
      </c>
    </row>
    <row r="15">
      <c s="61" r="A15">
        <v>1.0</v>
      </c>
      <c t="s" s="61" r="B15">
        <v>154</v>
      </c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min="1" customWidth="1" max="1" width="27.14"/>
    <col min="2" customWidth="1" max="2" width="13.0"/>
    <col min="7" customWidth="1" max="7" width="32.0"/>
  </cols>
  <sheetData>
    <row r="2">
      <c t="s" s="157" r="B2">
        <v>155</v>
      </c>
      <c t="s" s="158" r="C2">
        <v>156</v>
      </c>
      <c t="s" s="159" r="D2">
        <v>157</v>
      </c>
      <c t="s" s="160" r="E2">
        <v>158</v>
      </c>
      <c t="s" s="159" r="F2">
        <v>159</v>
      </c>
    </row>
    <row r="3">
      <c t="s" s="161" r="A3">
        <v>160</v>
      </c>
      <c s="162" r="B3"/>
      <c s="163" r="C3"/>
      <c s="75" r="D3"/>
      <c s="164" r="E3"/>
      <c s="141" r="F3"/>
    </row>
    <row r="4">
      <c t="s" s="165" r="A4">
        <v>161</v>
      </c>
      <c s="166" r="B4">
        <v>210000.0</v>
      </c>
      <c s="167" r="C4">
        <v>156000.0</v>
      </c>
      <c s="18" r="D4">
        <v>285000.0</v>
      </c>
      <c s="168" r="E4">
        <v>165000.0</v>
      </c>
      <c s="169" r="F4">
        <v>243000.0</v>
      </c>
      <c t="s" s="61" r="G4">
        <v>162</v>
      </c>
    </row>
    <row r="5">
      <c t="s" s="165" r="A5">
        <v>163</v>
      </c>
      <c s="166" r="B5">
        <v>480000.0</v>
      </c>
      <c s="167" r="C5">
        <v>206738.75</v>
      </c>
      <c s="18" r="D5">
        <v>630000.0</v>
      </c>
      <c s="168" r="E5">
        <v>280232.0</v>
      </c>
      <c s="169" r="F5">
        <v>600000.0</v>
      </c>
    </row>
    <row r="6">
      <c t="s" s="170" r="A6">
        <v>164</v>
      </c>
      <c s="171" r="B6">
        <v>150000.0</v>
      </c>
      <c s="172" r="C6">
        <v>120000.0</v>
      </c>
      <c s="52" r="D6">
        <v>212500.0</v>
      </c>
      <c s="168" r="E6">
        <v>212500.0</v>
      </c>
      <c s="169" r="F6">
        <v>190000.0</v>
      </c>
      <c t="s" s="61" r="G6">
        <v>165</v>
      </c>
    </row>
    <row r="7">
      <c t="s" s="173" r="A7">
        <v>166</v>
      </c>
      <c t="str" s="174" r="B7">
        <f>sum(B4:B6)</f>
        <v>840 000,00</v>
      </c>
      <c t="str" s="174" r="C7">
        <f>sum(C4:C6)</f>
        <v>482 738,75</v>
      </c>
      <c t="str" s="174" r="D7">
        <f>sum(D4:D6)</f>
        <v>1 127 500,00</v>
      </c>
      <c t="str" s="174" r="E7">
        <f>sum(E4:E6)</f>
        <v>657 732,00</v>
      </c>
      <c t="str" s="174" r="F7">
        <f>sum(F4:F6)</f>
        <v>1 033 000,00</v>
      </c>
    </row>
    <row r="8">
      <c s="1" r="A8"/>
      <c s="175" r="B8"/>
      <c s="175" r="C8"/>
      <c s="175" r="D8"/>
      <c s="176" r="E8"/>
      <c s="176" r="F8"/>
    </row>
    <row r="9">
      <c t="s" s="177" r="A9">
        <v>167</v>
      </c>
      <c s="162" r="B9"/>
      <c s="163" r="C9"/>
      <c s="75" r="D9"/>
      <c s="164" r="E9"/>
      <c s="178" r="F9"/>
    </row>
    <row r="10">
      <c t="s" s="165" r="A10">
        <v>168</v>
      </c>
      <c s="166" r="B10">
        <v>7500.0</v>
      </c>
      <c s="167" r="C10">
        <v>0.0</v>
      </c>
      <c s="18" r="D10">
        <v>12000.0</v>
      </c>
      <c s="168" r="E10">
        <v>0.0</v>
      </c>
      <c s="179" r="F10">
        <v>12000.0</v>
      </c>
    </row>
    <row r="11">
      <c t="s" s="180" r="A11">
        <v>169</v>
      </c>
      <c s="181" r="B11">
        <v>0.0</v>
      </c>
      <c s="182" r="C11">
        <v>0.0</v>
      </c>
      <c s="25" r="D11">
        <v>0.0</v>
      </c>
      <c s="168" r="E11">
        <v>648.0</v>
      </c>
      <c s="179" r="F11">
        <v>1000.0</v>
      </c>
      <c t="s" s="61" r="G11">
        <v>170</v>
      </c>
    </row>
    <row r="12">
      <c t="s" s="165" r="A12">
        <v>171</v>
      </c>
      <c s="166" r="B12">
        <v>6000.0</v>
      </c>
      <c s="167" r="C12">
        <v>3216.0</v>
      </c>
      <c s="18" r="D12">
        <v>6600.0</v>
      </c>
      <c s="168" r="E12">
        <v>9597.0</v>
      </c>
      <c s="179" r="F12">
        <v>7600.0</v>
      </c>
    </row>
    <row r="13">
      <c t="s" s="165" r="A13">
        <v>172</v>
      </c>
      <c s="166" r="B13">
        <v>481600.0</v>
      </c>
      <c s="167" r="C13">
        <v>272241.7</v>
      </c>
      <c s="18" r="D13">
        <v>635700.0</v>
      </c>
      <c t="str" s="168" r="E13">
        <f>311218</f>
        <v>311 218,00</v>
      </c>
      <c t="str" s="179" r="F13">
        <f>600000</f>
        <v>600 000,00</v>
      </c>
      <c s="61" r="G13"/>
    </row>
    <row r="14">
      <c t="s" s="180" r="A14">
        <v>173</v>
      </c>
      <c s="181" r="B14">
        <v>0.0</v>
      </c>
      <c s="182" r="C14">
        <v>0.0</v>
      </c>
      <c s="25" r="D14">
        <v>0.0</v>
      </c>
      <c s="168" r="E14">
        <v>5928.7</v>
      </c>
      <c s="179" r="F14">
        <v>3000.0</v>
      </c>
      <c s="61" r="G14"/>
    </row>
    <row r="15">
      <c t="s" s="165" r="A15">
        <v>174</v>
      </c>
      <c s="166" r="B15">
        <v>6960.0</v>
      </c>
      <c s="167" r="C15">
        <v>1000.0</v>
      </c>
      <c s="18" r="D15">
        <v>9040.0</v>
      </c>
      <c s="168" r="E15">
        <v>10095.96</v>
      </c>
      <c s="179" r="F15">
        <v>13000.0</v>
      </c>
      <c t="s" s="61" r="G15">
        <v>175</v>
      </c>
    </row>
    <row r="16">
      <c t="s" s="165" r="A16">
        <v>176</v>
      </c>
      <c s="166" r="B16">
        <v>3840.0</v>
      </c>
      <c s="167" r="C16">
        <v>0.0</v>
      </c>
      <c s="18" r="D16">
        <v>5250.0</v>
      </c>
      <c s="183" r="E16">
        <v>0.0</v>
      </c>
      <c s="179" r="F16">
        <v>0.0</v>
      </c>
      <c s="61" r="G16"/>
    </row>
    <row r="17">
      <c t="s" s="165" r="A17">
        <v>177</v>
      </c>
      <c s="166" r="B17">
        <v>2400.0</v>
      </c>
      <c s="167" r="C17">
        <v>1501.0</v>
      </c>
      <c s="18" r="D17">
        <v>2600.0</v>
      </c>
      <c s="168" r="E17">
        <v>1710.0</v>
      </c>
      <c s="179" r="F17">
        <v>2800.0</v>
      </c>
    </row>
    <row r="18">
      <c t="s" s="165" r="A18">
        <v>178</v>
      </c>
      <c s="166" r="B18">
        <v>28100.0</v>
      </c>
      <c s="167" r="C18">
        <v>16784.0</v>
      </c>
      <c s="18" r="D18">
        <v>36100.0</v>
      </c>
      <c s="168" r="E18">
        <v>20749.44</v>
      </c>
      <c s="179" r="F18">
        <v>34000.0</v>
      </c>
    </row>
    <row r="19">
      <c t="s" s="165" r="A19">
        <v>179</v>
      </c>
      <c s="166" r="B19">
        <v>6250.0</v>
      </c>
      <c s="167" r="C19">
        <v>6308.0</v>
      </c>
      <c t="str" s="18" r="D19">
        <f>13150+4000</f>
        <v>17 150,00</v>
      </c>
      <c t="str" s="168" r="E19">
        <f>8887+1750</f>
        <v>10 637,00</v>
      </c>
      <c t="str" s="179" r="F19">
        <f>14000+2000+1000</f>
        <v>17 000,00</v>
      </c>
      <c t="s" s="61" r="G19">
        <v>180</v>
      </c>
    </row>
    <row r="20">
      <c t="s" s="165" r="A20">
        <v>181</v>
      </c>
      <c s="166" r="B20">
        <v>0.0</v>
      </c>
      <c s="167" r="C20">
        <v>0.0</v>
      </c>
      <c s="18" r="D20">
        <v>99500.0</v>
      </c>
      <c s="183" r="E20">
        <v>0.0</v>
      </c>
      <c s="179" r="F20">
        <v>0.0</v>
      </c>
      <c t="s" s="61" r="G20">
        <v>182</v>
      </c>
    </row>
    <row r="21">
      <c t="s" s="173" r="A21">
        <v>183</v>
      </c>
      <c t="str" s="184" r="B21">
        <f>sum(B10:B20)</f>
        <v>542 650,00</v>
      </c>
      <c t="str" s="184" r="C21">
        <f>sum(C10:C20)</f>
        <v>301 050,70</v>
      </c>
      <c t="str" s="184" r="D21">
        <f>sum(D10:D20)</f>
        <v>823 940,00</v>
      </c>
      <c t="str" s="184" r="E21">
        <f>sum(E10:E20)</f>
        <v>370 584,10</v>
      </c>
      <c t="str" s="184" r="F21">
        <f>sum(F10:F20)</f>
        <v>690 400,00</v>
      </c>
    </row>
    <row r="22">
      <c s="3" r="A22"/>
      <c s="175" r="B22"/>
      <c s="175" r="C22"/>
      <c s="175" r="D22"/>
      <c s="176" r="E22"/>
      <c s="176" r="F22"/>
    </row>
    <row r="23">
      <c t="s" s="173" r="A23">
        <v>184</v>
      </c>
      <c t="str" s="185" r="B23">
        <f>B7-B21</f>
        <v>297 350,00</v>
      </c>
      <c t="str" s="185" r="C23">
        <f>C7-C21</f>
        <v>181 688,05</v>
      </c>
      <c t="str" s="185" r="D23">
        <f>D7-D21</f>
        <v>303 560,00</v>
      </c>
      <c t="str" s="185" r="E23">
        <f>E7-E21</f>
        <v>287 147,90</v>
      </c>
      <c t="str" s="185" r="F23">
        <f>F7-F21</f>
        <v>342 600,00</v>
      </c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t="s" s="186" r="C1">
        <v>185</v>
      </c>
    </row>
    <row r="2">
      <c s="1" r="A2"/>
      <c s="1" r="B2"/>
      <c s="3" r="C2"/>
      <c s="3" r="D2"/>
      <c s="3" r="E2"/>
    </row>
    <row r="3">
      <c s="1" r="A3"/>
      <c t="s" s="187" r="B3">
        <v>186</v>
      </c>
      <c t="s" s="5" r="C3">
        <v>187</v>
      </c>
      <c t="s" s="6" r="D3">
        <v>188</v>
      </c>
      <c t="s" s="7" r="E3">
        <v>189</v>
      </c>
      <c t="s" s="188" r="F3">
        <v>190</v>
      </c>
      <c t="s" s="9" r="G3">
        <v>191</v>
      </c>
    </row>
    <row r="4">
      <c t="s" s="10" r="A4">
        <v>192</v>
      </c>
      <c s="40" r="B4"/>
      <c s="12" r="C4"/>
      <c s="13" r="D4"/>
      <c s="14" r="E4"/>
      <c s="189" r="F4"/>
      <c s="190" r="G4"/>
    </row>
    <row r="5">
      <c t="s" s="17" r="A5">
        <v>193</v>
      </c>
      <c s="40" r="B5"/>
      <c s="25" r="C5">
        <v>0.0</v>
      </c>
      <c s="19" r="D5">
        <v>5.05</v>
      </c>
      <c s="20" r="E5">
        <v>0.0</v>
      </c>
      <c s="191" r="F5">
        <v>2.01</v>
      </c>
      <c t="str" s="190" r="G5">
        <f>0</f>
        <v>0,00</v>
      </c>
    </row>
    <row r="6">
      <c t="s" s="59" r="A6">
        <v>194</v>
      </c>
      <c s="40" r="B6"/>
      <c s="25" r="C6">
        <v>5000.0</v>
      </c>
      <c t="s" s="19" r="D6">
        <v>195</v>
      </c>
      <c s="26" r="E6">
        <v>10000.0</v>
      </c>
      <c t="s" s="192" r="F6">
        <v>196</v>
      </c>
      <c s="193" r="G6">
        <v>10000.0</v>
      </c>
      <c t="s" s="61" r="H6">
        <v>197</v>
      </c>
    </row>
    <row r="7">
      <c t="s" s="24" r="A7">
        <v>198</v>
      </c>
      <c s="40" r="B7"/>
      <c s="18" r="C7">
        <v>0.0</v>
      </c>
      <c s="22" r="D7">
        <v>0.0</v>
      </c>
      <c s="20" r="E7">
        <v>0.0</v>
      </c>
      <c s="191" r="F7">
        <v>0.0</v>
      </c>
      <c s="193" r="G7">
        <v>30000.0</v>
      </c>
    </row>
    <row r="8">
      <c t="s" s="24" r="A8">
        <v>199</v>
      </c>
      <c s="40" r="B8"/>
      <c s="18" r="C8">
        <v>0.0</v>
      </c>
      <c s="22" r="D8">
        <v>0.0</v>
      </c>
      <c s="20" r="E8">
        <v>0.0</v>
      </c>
      <c s="191" r="F8">
        <v>569.0</v>
      </c>
      <c t="str" s="190" r="G8">
        <f>0</f>
        <v>0,00</v>
      </c>
    </row>
    <row r="9">
      <c t="s" s="24" r="A9">
        <v>200</v>
      </c>
      <c s="40" r="B9"/>
      <c s="25" r="C9">
        <v>0.0</v>
      </c>
      <c s="19" r="D9">
        <v>76.53</v>
      </c>
      <c s="26" r="E9">
        <v>0.0</v>
      </c>
      <c s="194" r="F9">
        <v>0.0</v>
      </c>
      <c s="193" r="G9">
        <v>0.0</v>
      </c>
    </row>
    <row r="10">
      <c t="s" s="29" r="A10">
        <v>201</v>
      </c>
      <c s="195" r="B10"/>
      <c t="str" s="31" r="C10">
        <f>SUM(C5:C9)</f>
        <v>5 000,00</v>
      </c>
      <c t="str" s="32" r="D10">
        <f>SUM(D5:D9)</f>
        <v>81,58</v>
      </c>
      <c t="str" s="32" r="E10">
        <f>SUM(E5:E9)</f>
        <v>10 000,00</v>
      </c>
      <c t="str" s="32" r="F10">
        <f>SUM(F5:F9)</f>
        <v>571,01</v>
      </c>
      <c t="str" s="32" r="G10">
        <f>SUM(G5:G9)</f>
        <v>40 000,00</v>
      </c>
    </row>
    <row r="11">
      <c s="1" r="A11"/>
      <c s="126" r="B11"/>
      <c s="196" r="C11"/>
      <c s="197" r="D11"/>
      <c s="196" r="E11"/>
      <c s="38" r="F11"/>
      <c s="38" r="G11"/>
    </row>
    <row r="12">
      <c t="s" s="39" r="A12">
        <v>202</v>
      </c>
      <c s="40" r="B12"/>
      <c s="12" r="C12"/>
      <c s="13" r="D12"/>
      <c s="14" r="E12"/>
      <c s="41" r="F12"/>
      <c s="42" r="G12"/>
    </row>
    <row r="13">
      <c t="s" s="59" r="A13">
        <v>203</v>
      </c>
      <c s="40" r="B13"/>
      <c s="18" r="C13">
        <v>10000.0</v>
      </c>
      <c s="19" r="D13">
        <v>10102.3</v>
      </c>
      <c s="20" r="E13">
        <v>10000.0</v>
      </c>
      <c s="27" r="F13">
        <v>4394.83</v>
      </c>
      <c s="28" r="G13">
        <v>10000.0</v>
      </c>
    </row>
    <row r="14">
      <c t="s" s="24" r="A14">
        <v>204</v>
      </c>
      <c s="40" r="B14"/>
      <c t="s" s="25" r="C14">
        <v>205</v>
      </c>
      <c t="s" s="19" r="D14">
        <v>206</v>
      </c>
      <c s="26" r="E14">
        <v>8000.0</v>
      </c>
      <c s="27" r="F14">
        <v>9482.37</v>
      </c>
      <c s="28" r="G14">
        <v>10000.0</v>
      </c>
    </row>
    <row r="15">
      <c t="s" s="61" r="A15">
        <v>207</v>
      </c>
      <c s="198" r="B15"/>
      <c s="181" r="C15">
        <v>0.0</v>
      </c>
      <c s="19" r="D15">
        <v>0.0</v>
      </c>
      <c s="181" r="E15">
        <v>0.0</v>
      </c>
      <c s="27" r="F15">
        <v>0.0</v>
      </c>
      <c s="28" r="G15">
        <v>10000.0</v>
      </c>
    </row>
    <row r="16">
      <c t="s" s="61" r="A16">
        <v>208</v>
      </c>
      <c s="198" r="B16"/>
      <c s="181" r="C16">
        <v>0.0</v>
      </c>
      <c s="19" r="D16">
        <v>0.0</v>
      </c>
      <c s="181" r="E16">
        <v>0.0</v>
      </c>
      <c s="27" r="F16">
        <v>0.0</v>
      </c>
      <c s="28" r="G16">
        <v>600.0</v>
      </c>
    </row>
    <row r="17">
      <c t="s" s="59" r="A17">
        <v>209</v>
      </c>
      <c s="126" r="B17"/>
      <c s="181" r="C17">
        <v>10000.0</v>
      </c>
      <c s="19" r="D17">
        <v>4266.0</v>
      </c>
      <c s="26" r="E17">
        <v>10000.0</v>
      </c>
      <c s="27" r="F17">
        <v>10066.36</v>
      </c>
      <c s="28" r="G17">
        <v>10000.0</v>
      </c>
    </row>
    <row r="18">
      <c t="s" s="61" r="A18">
        <v>210</v>
      </c>
      <c s="198" r="B18"/>
      <c s="181" r="C18">
        <v>0.0</v>
      </c>
      <c s="19" r="D18">
        <v>0.0</v>
      </c>
      <c s="26" r="E18">
        <v>0.0</v>
      </c>
      <c s="27" r="F18">
        <v>0.0</v>
      </c>
      <c s="28" r="G18">
        <v>30000.0</v>
      </c>
    </row>
    <row r="19">
      <c t="s" s="24" r="A19">
        <v>211</v>
      </c>
      <c s="45" r="B19">
        <v>1.0</v>
      </c>
      <c s="25" r="C19">
        <v>0.0</v>
      </c>
      <c s="19" r="D19">
        <v>1087.0</v>
      </c>
      <c s="26" r="E19">
        <v>7000.0</v>
      </c>
      <c s="27" r="F19">
        <v>1064.0</v>
      </c>
      <c s="28" r="G19">
        <v>7000.0</v>
      </c>
    </row>
    <row r="20">
      <c t="s" s="59" r="A20">
        <v>212</v>
      </c>
      <c s="46" r="B20"/>
      <c s="25" r="C20">
        <v>10000.0</v>
      </c>
      <c s="19" r="D20">
        <v>0.0</v>
      </c>
      <c s="26" r="E20">
        <v>0.0</v>
      </c>
      <c t="str" s="15" r="F20">
        <f>0</f>
        <v>0,00</v>
      </c>
      <c t="str" s="16" r="G20">
        <f>0</f>
        <v>0,00</v>
      </c>
    </row>
    <row r="21">
      <c t="s" s="24" r="A21">
        <v>213</v>
      </c>
      <c s="40" r="B21"/>
      <c s="199" r="C21">
        <v>0.0</v>
      </c>
      <c s="48" r="D21">
        <v>0.0</v>
      </c>
      <c s="200" r="E21">
        <v>0.0</v>
      </c>
      <c s="27" r="F21">
        <v>30247.0</v>
      </c>
      <c t="str" s="16" r="G21">
        <f>0</f>
        <v>0,00</v>
      </c>
    </row>
    <row r="22">
      <c t="s" s="59" r="A22">
        <v>214</v>
      </c>
      <c s="46" r="B22"/>
      <c s="25" r="C22">
        <v>3000.0</v>
      </c>
      <c s="19" r="D22">
        <v>2632.68</v>
      </c>
      <c s="26" r="E22">
        <v>8000.0</v>
      </c>
      <c s="27" r="F22">
        <v>1690.15</v>
      </c>
      <c s="28" r="G22">
        <v>7000.0</v>
      </c>
    </row>
    <row r="23">
      <c t="s" s="24" r="A23">
        <v>215</v>
      </c>
      <c s="40" r="B23"/>
      <c s="25" r="C23">
        <v>0.0</v>
      </c>
      <c s="19" r="D23">
        <v>1391.12</v>
      </c>
      <c s="26" r="E23">
        <v>1500.0</v>
      </c>
      <c s="27" r="F23">
        <v>777.38</v>
      </c>
      <c s="28" r="G23">
        <v>1500.0</v>
      </c>
    </row>
    <row r="24">
      <c t="s" s="59" r="A24">
        <v>216</v>
      </c>
      <c s="46" r="B24"/>
      <c s="25" r="C24">
        <v>0.0</v>
      </c>
      <c s="19" r="D24">
        <v>1011.58</v>
      </c>
      <c s="26" r="E24">
        <v>1500.0</v>
      </c>
      <c s="27" r="F24">
        <v>441.76</v>
      </c>
      <c s="28" r="G24">
        <v>1500.0</v>
      </c>
    </row>
    <row r="25">
      <c t="s" s="59" r="A25">
        <v>217</v>
      </c>
      <c s="40" r="B25"/>
      <c s="25" r="C25">
        <v>0.0</v>
      </c>
      <c s="19" r="D25">
        <v>505.0</v>
      </c>
      <c s="26" r="E25">
        <v>1500.0</v>
      </c>
      <c s="27" r="F25">
        <v>1800.0</v>
      </c>
      <c s="28" r="G25">
        <v>2000.0</v>
      </c>
    </row>
    <row r="26">
      <c t="s" s="59" r="A26">
        <v>218</v>
      </c>
      <c s="40" r="B26"/>
      <c s="18" r="C26">
        <v>0.0</v>
      </c>
      <c s="19" r="D26">
        <v>575.1</v>
      </c>
      <c s="26" r="E26">
        <v>3000.0</v>
      </c>
      <c s="27" r="F26">
        <v>1496.4</v>
      </c>
      <c s="28" r="G26">
        <v>3000.0</v>
      </c>
    </row>
    <row r="27">
      <c t="s" s="61" r="A27">
        <v>219</v>
      </c>
      <c s="198" r="B27"/>
      <c s="166" r="C27">
        <v>0.0</v>
      </c>
      <c s="19" r="D27">
        <v>0.0</v>
      </c>
      <c s="181" r="E27">
        <v>3000.0</v>
      </c>
      <c s="27" r="F27">
        <v>0.0</v>
      </c>
      <c s="28" r="G27">
        <v>2000.0</v>
      </c>
    </row>
    <row r="28">
      <c t="s" s="59" r="A28">
        <v>220</v>
      </c>
      <c s="40" r="B28"/>
      <c s="25" r="C28">
        <v>2000.0</v>
      </c>
      <c s="19" r="D28">
        <v>0.0</v>
      </c>
      <c s="26" r="E28">
        <v>3000.0</v>
      </c>
      <c s="27" r="F28">
        <v>606.0</v>
      </c>
      <c s="28" r="G28">
        <v>2000.0</v>
      </c>
    </row>
    <row r="29">
      <c t="s" s="201" r="A29">
        <v>221</v>
      </c>
      <c s="195" r="B29"/>
      <c t="str" s="202" r="C29">
        <f>SUM(C12:C28)</f>
        <v>35 000,00</v>
      </c>
      <c t="str" s="202" r="D29">
        <f>SUM(D12:D28)</f>
        <v>21 570,78</v>
      </c>
      <c t="str" s="202" r="E29">
        <f>SUM(E12:E28)</f>
        <v>56 500,00</v>
      </c>
      <c t="str" s="202" r="F29">
        <f>SUM(F12:F28)</f>
        <v>62 066,25</v>
      </c>
      <c t="str" s="202" r="G29">
        <f>SUM(G12:G28)</f>
        <v>96 600,00</v>
      </c>
    </row>
    <row r="30">
      <c s="3" r="A30"/>
      <c s="203" r="B30"/>
      <c s="196" r="C30"/>
      <c s="197" r="D30"/>
      <c s="196" r="E30"/>
      <c s="38" r="F30"/>
      <c s="38" r="G30"/>
    </row>
    <row r="31">
      <c t="s" s="55" r="A31">
        <v>222</v>
      </c>
      <c s="51" r="B31"/>
      <c t="str" s="204" r="C31">
        <f>C10-C29</f>
        <v>−30 000,00</v>
      </c>
      <c t="str" s="205" r="D31">
        <f>D10-D29</f>
        <v>−21 489,20</v>
      </c>
      <c t="str" s="206" r="E31">
        <f>E10-E29</f>
        <v>−46 500,00</v>
      </c>
      <c t="str" s="207" r="F31">
        <f>F10-F29</f>
        <v>−61 495,24</v>
      </c>
      <c t="str" s="208" r="G31">
        <f>G10-G29</f>
        <v>−56 600,00</v>
      </c>
    </row>
    <row r="33">
      <c t="s" s="60" r="A33">
        <v>223</v>
      </c>
      <c t="s" s="61" r="B33">
        <v>224</v>
      </c>
    </row>
    <row r="34">
      <c s="209" r="A34"/>
      <c s="210" r="B34"/>
      <c s="211" r="C34"/>
      <c s="212" r="D34"/>
      <c s="211" r="E34"/>
      <c s="213" r="F34"/>
      <c s="214" r="G34"/>
      <c s="215" r="H34"/>
    </row>
    <row r="35">
      <c s="216" r="A35"/>
      <c s="210" r="B35"/>
      <c s="211" r="C35"/>
      <c s="212" r="D35"/>
      <c s="211" r="E35"/>
      <c s="213" r="F35"/>
      <c s="214" r="G35"/>
      <c s="215" r="H35"/>
    </row>
    <row r="36">
      <c s="216" r="A36"/>
      <c s="210" r="B36"/>
      <c s="211" r="C36"/>
      <c s="212" r="D36"/>
      <c s="211" r="E36"/>
      <c s="213" r="F36"/>
      <c s="213" r="G36"/>
      <c s="215" r="H36"/>
    </row>
    <row r="37">
      <c s="216" r="A37"/>
      <c s="210" r="B37"/>
      <c s="211" r="C37"/>
      <c s="212" r="D37"/>
      <c s="211" r="E37"/>
      <c s="213" r="F37"/>
      <c s="213" r="G37"/>
      <c s="215" r="H37"/>
    </row>
    <row r="38">
      <c s="216" r="A38"/>
      <c s="210" r="B38"/>
      <c s="211" r="C38"/>
      <c s="212" r="D38"/>
      <c s="211" r="E38"/>
      <c s="213" r="F38"/>
      <c s="213" r="G38"/>
      <c s="215" r="H38"/>
    </row>
  </sheetData>
  <conditionalFormatting sqref="G10">
    <cfRule priority="1" type="cellIs" operator="greaterThan" dxfId="0">
      <formula>0</formula>
    </cfRule>
  </conditionalFormatting>
  <conditionalFormatting sqref="G31">
    <cfRule priority="2" type="cellIs" operator="lessThan" dxfId="1">
      <formula>0</formula>
    </cfRule>
  </conditionalFormatting>
  <conditionalFormatting sqref="F31">
    <cfRule priority="3" type="cellIs" operator="lessThan" dxfId="1">
      <formula>0</formula>
    </cfRule>
  </conditionalFormatting>
  <conditionalFormatting sqref="F10">
    <cfRule priority="4" type="cellIs" operator="greaterThan" dxfId="0">
      <formula>0</formula>
    </cfRule>
  </conditionalFormatting>
  <conditionalFormatting sqref="C10:G10">
    <cfRule priority="5" type="cellIs" operator="greaterThan" dxfId="0">
      <formula>0</formula>
    </cfRule>
  </conditionalFormatting>
  <conditionalFormatting sqref="C31:E31">
    <cfRule priority="6" type="cellIs" operator="lessThan" dxfId="1">
      <formula>0</formula>
    </cfRule>
  </conditionalFormatting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min="8" customWidth="1" max="8" width="60.86"/>
    <col min="9" customWidth="1" max="9" width="7.14"/>
  </cols>
  <sheetData>
    <row r="1">
      <c s="217" r="A1">
        <v>0.0</v>
      </c>
      <c s="1" r="B1"/>
      <c t="s" s="2" r="C1">
        <v>225</v>
      </c>
    </row>
    <row r="2">
      <c s="1" r="A2"/>
      <c s="1" r="B2"/>
      <c s="3" r="C2"/>
      <c s="3" r="D2"/>
      <c s="3" r="E2"/>
    </row>
    <row r="3">
      <c s="1" r="A3"/>
      <c t="s" s="4" r="B3">
        <v>226</v>
      </c>
      <c t="s" s="5" r="C3">
        <v>227</v>
      </c>
      <c t="s" s="6" r="D3">
        <v>228</v>
      </c>
      <c t="s" s="7" r="E3">
        <v>229</v>
      </c>
      <c t="s" s="8" r="F3">
        <v>230</v>
      </c>
      <c t="s" s="9" r="G3">
        <v>231</v>
      </c>
    </row>
    <row r="4">
      <c t="s" s="10" r="A4">
        <v>232</v>
      </c>
      <c s="11" r="B4"/>
      <c s="12" r="C4"/>
      <c s="13" r="D4"/>
      <c s="14" r="E4"/>
      <c s="15" r="F4"/>
      <c s="16" r="G4"/>
    </row>
    <row r="5">
      <c t="s" s="218" r="A5">
        <v>233</v>
      </c>
      <c s="11" r="B5"/>
      <c s="25" r="C5">
        <v>30000.0</v>
      </c>
      <c s="19" r="D5">
        <v>0.0</v>
      </c>
      <c s="26" r="E5">
        <v>30000.0</v>
      </c>
      <c s="27" r="F5">
        <v>0.0</v>
      </c>
      <c s="28" r="G5">
        <v>30000.0</v>
      </c>
    </row>
    <row r="6">
      <c t="s" s="218" r="A6">
        <v>234</v>
      </c>
      <c s="11" r="B6"/>
      <c s="25" r="C6">
        <v>0.0</v>
      </c>
      <c s="19" r="D6">
        <v>1.87</v>
      </c>
      <c s="26" r="E6">
        <v>0.0</v>
      </c>
      <c s="27" r="F6">
        <v>0.66</v>
      </c>
      <c s="28" r="G6">
        <v>0.0</v>
      </c>
    </row>
    <row r="7">
      <c s="24" r="A7"/>
      <c s="11" r="B7"/>
      <c s="25" r="C7"/>
      <c s="19" r="D7"/>
      <c s="26" r="E7"/>
      <c s="27" r="F7"/>
      <c s="16" r="G7"/>
    </row>
    <row r="8">
      <c t="s" s="29" r="A8">
        <v>235</v>
      </c>
      <c s="30" r="B8"/>
      <c t="str" s="219" r="C8">
        <f>SUM(C6)</f>
        <v>0,00</v>
      </c>
      <c t="str" s="32" r="D8">
        <f>SUM(D5:D6)</f>
        <v>1,87</v>
      </c>
      <c t="str" s="33" r="E8">
        <f>SUM(E5:E6)</f>
        <v>30 000,00</v>
      </c>
      <c t="str" s="34" r="F8">
        <f>SUM(F5:F6)</f>
        <v>0,66</v>
      </c>
      <c t="str" s="35" r="G8">
        <f>sum(G5:G7)</f>
        <v>30 000,00</v>
      </c>
    </row>
    <row r="9">
      <c s="1" r="A9"/>
      <c s="1" r="B9"/>
      <c s="196" r="C9"/>
      <c s="197" r="D9"/>
      <c s="196" r="E9"/>
      <c s="38" r="F9"/>
      <c s="38" r="G9"/>
    </row>
    <row r="10">
      <c t="s" s="39" r="A10">
        <v>236</v>
      </c>
      <c t="str" s="11" r="B10">
        <f>B5+B6+B7+B8</f>
        <v>  -   </v>
      </c>
      <c s="12" r="C10"/>
      <c s="13" r="D10"/>
      <c s="14" r="E10"/>
      <c s="41" r="F10"/>
      <c s="42" r="G10"/>
    </row>
    <row r="11">
      <c t="s" s="220" r="A11">
        <v>237</v>
      </c>
      <c s="11" r="B11"/>
      <c s="25" r="C11">
        <v>30000.0</v>
      </c>
      <c s="19" r="D11">
        <v>0.0</v>
      </c>
      <c s="26" r="E11">
        <v>30000.0</v>
      </c>
      <c s="27" r="F11">
        <v>0.0</v>
      </c>
      <c s="28" r="G11">
        <v>30000.0</v>
      </c>
    </row>
    <row r="12">
      <c t="s" s="220" r="A12">
        <v>238</v>
      </c>
      <c s="11" r="B12"/>
      <c s="25" r="C12">
        <v>3000.0</v>
      </c>
      <c s="19" r="D12">
        <v>0.0</v>
      </c>
      <c s="26" r="E12">
        <v>3000.0</v>
      </c>
      <c s="27" r="F12">
        <v>0.0</v>
      </c>
      <c s="87" r="G12">
        <v>3000.0</v>
      </c>
      <c s="61" r="H12"/>
      <c s="61" r="I12"/>
    </row>
    <row r="13">
      <c t="s" s="220" r="A13">
        <v>239</v>
      </c>
      <c s="11" r="B13"/>
      <c s="25" r="C13">
        <v>30000.0</v>
      </c>
      <c s="19" r="D13">
        <v>31466.0</v>
      </c>
      <c s="26" r="E13">
        <v>7000.0</v>
      </c>
      <c s="27" r="F13">
        <v>3851.69</v>
      </c>
      <c s="87" r="G13">
        <v>8500.0</v>
      </c>
      <c t="s" s="61" r="H13">
        <v>240</v>
      </c>
      <c s="61" r="I13"/>
    </row>
    <row r="14">
      <c t="s" s="220" r="A14">
        <v>241</v>
      </c>
      <c s="11" r="B14"/>
      <c s="25" r="C14">
        <v>1000.0</v>
      </c>
      <c s="19" r="D14">
        <v>5418.75</v>
      </c>
      <c s="26" r="E14">
        <v>1000.0</v>
      </c>
      <c s="15" r="F14"/>
      <c s="87" r="G14">
        <v>0.0</v>
      </c>
    </row>
    <row r="15">
      <c t="s" s="220" r="A15">
        <v>242</v>
      </c>
      <c s="221" r="B15"/>
      <c s="25" r="C15">
        <v>2600.0</v>
      </c>
      <c s="19" r="D15">
        <v>3336.91</v>
      </c>
      <c s="26" r="E15">
        <v>2600.0</v>
      </c>
      <c s="27" r="F15">
        <v>1900.0</v>
      </c>
      <c s="87" r="G15">
        <v>3000.0</v>
      </c>
    </row>
    <row r="16">
      <c t="s" s="220" r="A16">
        <v>243</v>
      </c>
      <c s="11" r="B16"/>
      <c s="199" r="C16">
        <v>5000.0</v>
      </c>
      <c s="222" r="D16">
        <v>0.0</v>
      </c>
      <c s="200" r="E16">
        <v>8000.0</v>
      </c>
      <c s="27" r="F16">
        <v>291.78</v>
      </c>
      <c s="87" r="G16">
        <v>8000.0</v>
      </c>
    </row>
    <row r="17">
      <c t="s" s="59" r="A17">
        <v>244</v>
      </c>
      <c t="s" s="221" r="B17">
        <v>245</v>
      </c>
      <c s="18" r="C17"/>
      <c s="22" r="D17"/>
      <c s="20" r="E17"/>
      <c s="27" r="F17">
        <v>430.0</v>
      </c>
      <c s="28" r="G17">
        <v>1000.0</v>
      </c>
    </row>
    <row r="18">
      <c t="s" s="55" r="A18">
        <v>246</v>
      </c>
      <c s="56" r="B18"/>
      <c t="str" s="202" r="C18">
        <f>SUM(C11:C17)</f>
        <v>71 600,00</v>
      </c>
      <c t="str" s="223" r="D18">
        <f>SUM(D11:D17)</f>
        <v>40 221,66</v>
      </c>
      <c t="str" s="224" r="E18">
        <f>SUM(E11:E17)</f>
        <v>51 600,00</v>
      </c>
      <c t="str" s="225" r="F18">
        <f>SUM(F11:F17)</f>
        <v>6 473,47</v>
      </c>
      <c t="str" s="226" r="G18">
        <f>SUM(G11:G17)</f>
        <v>53 500,00</v>
      </c>
    </row>
    <row r="19">
      <c s="3" r="A19"/>
      <c s="3" r="B19"/>
      <c s="196" r="C19"/>
      <c s="197" r="D19"/>
      <c s="196" r="E19"/>
      <c s="38" r="F19"/>
      <c s="38" r="G19"/>
    </row>
    <row r="20">
      <c t="s" s="55" r="A20">
        <v>247</v>
      </c>
      <c s="56" r="B20"/>
      <c t="str" s="52" r="C20">
        <f>C8-C18</f>
        <v>−71 600,00</v>
      </c>
      <c t="str" s="53" r="D20">
        <f>D8-D18</f>
        <v>−40 219,79</v>
      </c>
      <c t="str" s="54" r="E20">
        <f>E8-E18</f>
        <v>−21 600,00</v>
      </c>
      <c t="str" s="34" r="F20">
        <f>F8-F18</f>
        <v>−6 472,81</v>
      </c>
      <c t="str" s="35" r="G20">
        <f>G8-G18</f>
        <v>−23 500,00</v>
      </c>
    </row>
    <row r="21">
      <c s="1" r="A21"/>
      <c s="1" r="B21"/>
      <c s="1" r="C21"/>
      <c s="1" r="D21"/>
      <c s="1" r="E21"/>
    </row>
    <row r="22">
      <c t="s" s="227" r="A22">
        <v>248</v>
      </c>
      <c t="s" s="217" r="B22">
        <v>249</v>
      </c>
      <c s="1" r="C22"/>
      <c s="1" r="D22"/>
      <c s="1" r="E22"/>
    </row>
    <row r="23">
      <c s="21" r="A23"/>
      <c s="1" r="B23"/>
      <c s="1" r="C23"/>
      <c s="1" r="D23"/>
      <c s="1" r="E23"/>
    </row>
    <row r="24">
      <c s="1" r="A24"/>
      <c s="1" r="B24"/>
      <c s="1" r="C24"/>
      <c s="1" r="D24"/>
      <c s="1" r="E24"/>
    </row>
  </sheetData>
  <mergeCells count="1">
    <mergeCell ref="C1:F1"/>
  </mergeCells>
  <conditionalFormatting sqref="G8">
    <cfRule priority="1" type="cellIs" operator="greaterThan" dxfId="0">
      <formula>0</formula>
    </cfRule>
  </conditionalFormatting>
  <conditionalFormatting sqref="G20">
    <cfRule priority="2" type="cellIs" operator="lessThan" dxfId="1">
      <formula>0</formula>
    </cfRule>
  </conditionalFormatting>
  <conditionalFormatting sqref="F20">
    <cfRule priority="3" type="cellIs" operator="lessThan" dxfId="1">
      <formula>0</formula>
    </cfRule>
  </conditionalFormatting>
  <conditionalFormatting sqref="F8">
    <cfRule priority="4" type="cellIs" operator="greaterThan" dxfId="0">
      <formula>0</formula>
    </cfRule>
  </conditionalFormatting>
  <conditionalFormatting sqref="C8:E8">
    <cfRule priority="5" type="cellIs" operator="greaterThan" dxfId="0">
      <formula>0</formula>
    </cfRule>
  </conditionalFormatting>
  <conditionalFormatting sqref="C20:E20">
    <cfRule priority="6" type="cellIs" operator="lessThan" dxfId="1">
      <formula>0</formula>
    </cfRule>
  </conditionalFormatting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min="1" customWidth="1" max="1" width="27.0"/>
    <col min="2" customWidth="1" max="2" width="7.86"/>
  </cols>
  <sheetData>
    <row r="2">
      <c s="1" r="A2"/>
      <c t="s" s="4" r="B2">
        <v>250</v>
      </c>
      <c t="s" s="5" r="C2">
        <v>251</v>
      </c>
      <c t="s" s="6" r="D2">
        <v>252</v>
      </c>
      <c t="s" s="7" r="E2">
        <v>253</v>
      </c>
      <c t="s" s="8" r="F2">
        <v>254</v>
      </c>
      <c t="s" s="9" r="G2">
        <v>255</v>
      </c>
    </row>
    <row r="3">
      <c t="s" s="10" r="A3">
        <v>256</v>
      </c>
      <c s="228" r="B3"/>
      <c s="12" r="C3"/>
      <c s="13" r="D3"/>
      <c s="14" r="E3"/>
      <c s="15" r="F3"/>
      <c s="16" r="G3"/>
    </row>
    <row r="4">
      <c t="s" s="229" r="A4">
        <v>257</v>
      </c>
      <c s="228" r="B4"/>
      <c s="25" r="C4">
        <v>120000.0</v>
      </c>
      <c s="19" r="D4">
        <v>77040.41</v>
      </c>
      <c s="26" r="E4">
        <v>120000.0</v>
      </c>
      <c s="27" r="F4">
        <v>115500.0</v>
      </c>
      <c s="28" r="G4">
        <v>210000.0</v>
      </c>
    </row>
    <row r="5">
      <c t="s" s="59" r="A5">
        <v>258</v>
      </c>
      <c s="230" r="B5"/>
      <c s="25" r="C5">
        <v>70000.0</v>
      </c>
      <c s="19" r="D5">
        <v>45516.14</v>
      </c>
      <c s="26" r="E5">
        <v>80000.0</v>
      </c>
      <c s="27" r="F5">
        <v>122864.0</v>
      </c>
      <c s="28" r="G5">
        <v>120000.0</v>
      </c>
    </row>
    <row r="6">
      <c t="s" s="24" r="A6">
        <v>259</v>
      </c>
      <c t="s" s="230" r="B6">
        <v>260</v>
      </c>
      <c s="25" r="C6">
        <v>0.0</v>
      </c>
      <c s="19" r="D6">
        <v>71620.0</v>
      </c>
      <c s="26" r="E6">
        <v>0.0</v>
      </c>
      <c s="27" r="F6">
        <v>78500.0</v>
      </c>
      <c s="28" r="G6">
        <v>0.0</v>
      </c>
    </row>
    <row r="7">
      <c t="s" s="24" r="A7">
        <v>261</v>
      </c>
      <c s="228" r="B7"/>
      <c s="25" r="C7">
        <v>0.0</v>
      </c>
      <c s="19" r="D7">
        <v>15000.0</v>
      </c>
      <c s="26" r="E7">
        <v>0.0</v>
      </c>
      <c s="27" r="F7">
        <v>0.0</v>
      </c>
      <c s="28" r="G7">
        <v>0.0</v>
      </c>
    </row>
    <row r="8">
      <c t="s" s="24" r="A8">
        <v>262</v>
      </c>
      <c s="228" r="B8"/>
      <c s="25" r="C8">
        <v>0.0</v>
      </c>
      <c s="19" r="D8">
        <v>74.32</v>
      </c>
      <c s="26" r="E8">
        <v>0.0</v>
      </c>
      <c s="27" r="F8">
        <v>19.2</v>
      </c>
      <c s="28" r="G8">
        <v>0.0</v>
      </c>
    </row>
    <row r="9">
      <c t="s" s="24" r="A9">
        <v>263</v>
      </c>
      <c s="228" r="B9"/>
      <c s="25" r="C9">
        <v>0.0</v>
      </c>
      <c s="19" r="D9">
        <v>1590.0</v>
      </c>
      <c s="26" r="E9">
        <v>0.0</v>
      </c>
      <c s="27" r="F9">
        <v>0.0</v>
      </c>
      <c s="28" r="G9">
        <v>0.0</v>
      </c>
    </row>
    <row r="10">
      <c t="s" s="24" r="A10">
        <v>264</v>
      </c>
      <c s="228" r="B10"/>
      <c s="25" r="C10">
        <v>0.0</v>
      </c>
      <c s="19" r="D10">
        <v>0.0</v>
      </c>
      <c s="26" r="E10">
        <v>30000.0</v>
      </c>
      <c s="27" r="F10">
        <v>0.0</v>
      </c>
      <c s="28" r="G10">
        <v>0.0</v>
      </c>
    </row>
    <row r="11">
      <c t="s" s="29" r="A11">
        <v>265</v>
      </c>
      <c s="231" r="B11"/>
      <c t="str" s="31" r="C11">
        <f>SUM(C4:C10)</f>
        <v>190 000,00</v>
      </c>
      <c t="str" s="31" r="D11">
        <f>SUM(D4:D10)</f>
        <v>210 840,87</v>
      </c>
      <c t="str" s="31" r="E11">
        <f>SUM(E4:E10)</f>
        <v>230 000,00</v>
      </c>
      <c t="str" s="31" r="F11">
        <f>SUM(F4:F10)</f>
        <v>316 883,20</v>
      </c>
      <c t="str" s="31" r="G11">
        <f>SUM(G4:G10)</f>
        <v>330 000,00</v>
      </c>
    </row>
    <row r="12">
      <c s="1" r="A12"/>
      <c s="232" r="B12"/>
      <c s="196" r="C12"/>
      <c s="197" r="D12"/>
      <c s="196" r="E12"/>
      <c s="38" r="F12"/>
      <c s="38" r="G12"/>
    </row>
    <row r="13">
      <c t="s" s="39" r="A13">
        <v>266</v>
      </c>
      <c s="228" r="B13"/>
      <c s="12" r="C13"/>
      <c s="13" r="D13"/>
      <c s="14" r="E13"/>
      <c s="41" r="F13"/>
      <c s="42" r="G13"/>
      <c s="61" r="H13"/>
    </row>
    <row r="14">
      <c t="s" s="59" r="A14">
        <v>267</v>
      </c>
      <c s="228" r="B14"/>
      <c s="25" r="C14">
        <v>0.0</v>
      </c>
      <c s="19" r="D14">
        <v>14000.0</v>
      </c>
      <c s="26" r="E14">
        <v>30000.0</v>
      </c>
      <c s="27" r="F14">
        <v>0.0</v>
      </c>
      <c s="28" r="G14">
        <v>0.0</v>
      </c>
    </row>
    <row r="15">
      <c t="s" s="24" r="A15">
        <v>268</v>
      </c>
      <c s="228" r="B15"/>
      <c s="25" r="C15">
        <v>0.0</v>
      </c>
      <c s="19" r="D15">
        <v>0.0</v>
      </c>
      <c s="26" r="E15">
        <v>1000.0</v>
      </c>
      <c s="27" r="F15">
        <v>0.0</v>
      </c>
      <c s="28" r="G15">
        <v>1000.0</v>
      </c>
      <c s="61" r="H15"/>
    </row>
    <row r="16">
      <c t="s" s="59" r="A16">
        <v>269</v>
      </c>
      <c s="228" r="B16"/>
      <c s="25" r="C16">
        <v>5000.0</v>
      </c>
      <c s="19" r="D16">
        <v>1232.0</v>
      </c>
      <c s="26" r="E16">
        <v>12800.0</v>
      </c>
      <c s="27" r="F16">
        <v>6867.0</v>
      </c>
      <c s="28" r="G16">
        <v>10000.0</v>
      </c>
      <c s="61" r="H16"/>
    </row>
    <row r="17">
      <c t="s" s="24" r="A17">
        <v>270</v>
      </c>
      <c s="228" r="B17"/>
      <c s="25" r="C17">
        <v>1200.0</v>
      </c>
      <c s="19" r="D17">
        <v>99.0</v>
      </c>
      <c s="26" r="E17">
        <v>1200.0</v>
      </c>
      <c s="27" r="F17">
        <v>128.0</v>
      </c>
      <c s="28" r="G17">
        <v>1000.0</v>
      </c>
      <c s="61" r="H17"/>
    </row>
    <row r="18">
      <c t="s" s="59" r="A18">
        <v>271</v>
      </c>
      <c s="221" r="B18"/>
      <c s="25" r="C18">
        <v>5000.0</v>
      </c>
      <c s="19" r="D18">
        <v>5321.5</v>
      </c>
      <c s="26" r="E18">
        <v>6000.0</v>
      </c>
      <c s="27" r="F18">
        <v>0.0</v>
      </c>
      <c s="28" r="G18">
        <v>6000.0</v>
      </c>
      <c s="61" r="H18"/>
    </row>
    <row r="19">
      <c t="s" s="24" r="A19">
        <v>272</v>
      </c>
      <c s="228" r="B19"/>
      <c s="199" r="C19">
        <v>2000.0</v>
      </c>
      <c s="222" r="D19">
        <v>1893.82</v>
      </c>
      <c s="200" r="E19">
        <v>2400.0</v>
      </c>
      <c s="27" r="F19">
        <v>1718.34</v>
      </c>
      <c s="28" r="G19">
        <v>2400.0</v>
      </c>
      <c s="61" r="H19"/>
    </row>
    <row r="20">
      <c t="s" s="59" r="A20">
        <v>273</v>
      </c>
      <c s="221" r="B20"/>
      <c s="25" r="C20">
        <v>70000.0</v>
      </c>
      <c s="19" r="D20">
        <v>129649.0</v>
      </c>
      <c s="26" r="E20">
        <v>80000.0</v>
      </c>
      <c s="27" r="F20">
        <v>122864.0</v>
      </c>
      <c s="28" r="G20">
        <v>90000.0</v>
      </c>
      <c s="61" r="H20"/>
    </row>
    <row r="21">
      <c t="s" s="24" r="A21">
        <v>274</v>
      </c>
      <c t="s" s="230" r="B21">
        <v>275</v>
      </c>
      <c s="25" r="C21">
        <v>0.0</v>
      </c>
      <c s="19" r="D21">
        <v>7651.0</v>
      </c>
      <c s="26" r="E21">
        <v>6000.0</v>
      </c>
      <c s="27" r="F21">
        <v>19225.0</v>
      </c>
      <c s="28" r="G21">
        <v>20000.0</v>
      </c>
      <c s="61" r="H21"/>
    </row>
    <row r="22">
      <c t="s" s="59" r="A22">
        <v>276</v>
      </c>
      <c s="221" r="B22"/>
      <c s="25" r="C22">
        <v>0.0</v>
      </c>
      <c s="19" r="D22">
        <v>87167.25</v>
      </c>
      <c s="26" r="E22">
        <v>0.0</v>
      </c>
      <c s="27" r="F22">
        <v>0.0</v>
      </c>
      <c s="28" r="G22">
        <v>0.0</v>
      </c>
      <c s="61" r="H22"/>
    </row>
    <row r="23">
      <c t="s" s="59" r="A23">
        <v>277</v>
      </c>
      <c s="228" r="B23"/>
      <c s="25" r="C23">
        <v>4000.0</v>
      </c>
      <c s="19" r="D23">
        <v>250.0</v>
      </c>
      <c s="26" r="E23">
        <v>4000.0</v>
      </c>
      <c s="27" r="F23">
        <v>733.0</v>
      </c>
      <c s="28" r="G23">
        <v>4000.0</v>
      </c>
      <c s="61" r="H23"/>
    </row>
    <row r="24">
      <c t="s" s="59" r="A24">
        <v>278</v>
      </c>
      <c s="228" r="B24"/>
      <c s="25" r="C24">
        <v>0.0</v>
      </c>
      <c s="19" r="D24">
        <v>0.0</v>
      </c>
      <c s="26" r="E24">
        <v>3400.0</v>
      </c>
      <c s="27" r="F24">
        <v>1611.99</v>
      </c>
      <c s="28" r="G24">
        <v>6500.0</v>
      </c>
      <c s="61" r="H24"/>
    </row>
    <row r="25">
      <c t="s" s="59" r="A25">
        <v>279</v>
      </c>
      <c t="s" s="230" r="B25">
        <v>280</v>
      </c>
      <c s="25" r="C25">
        <v>0.0</v>
      </c>
      <c s="19" r="D25">
        <v>0.0</v>
      </c>
      <c s="26" r="E25">
        <v>0.0</v>
      </c>
      <c s="27" r="F25">
        <v>0.0</v>
      </c>
      <c s="28" r="G25">
        <v>6000.0</v>
      </c>
      <c s="61" r="H25"/>
    </row>
    <row r="26">
      <c t="s" s="59" r="A26">
        <v>281</v>
      </c>
      <c t="s" s="230" r="B26">
        <v>282</v>
      </c>
      <c s="25" r="C26">
        <v>0.0</v>
      </c>
      <c s="19" r="D26">
        <v>0.0</v>
      </c>
      <c s="26" r="E26">
        <v>0.0</v>
      </c>
      <c s="27" r="F26">
        <v>0.0</v>
      </c>
      <c s="28" r="G26">
        <v>30000.0</v>
      </c>
      <c s="61" r="H26"/>
    </row>
    <row r="27">
      <c s="50" r="A27"/>
      <c s="233" r="B27"/>
      <c s="52" r="C27"/>
      <c s="53" r="D27"/>
      <c s="54" r="E27"/>
      <c s="15" r="F27"/>
      <c s="16" r="G27"/>
    </row>
    <row r="28">
      <c t="s" s="55" r="A28">
        <v>283</v>
      </c>
      <c s="56" r="B28"/>
      <c t="str" s="234" r="C28">
        <f>SUM(C14:C27)</f>
        <v>87 200,00</v>
      </c>
      <c t="str" s="235" r="D28">
        <f>SUM(D14:D27)</f>
        <v>247 263,57</v>
      </c>
      <c t="str" s="236" r="E28">
        <f>SUM(E14:E27)</f>
        <v>146 800,00</v>
      </c>
      <c t="str" s="225" r="F28">
        <f>SUM(F14:F27)</f>
        <v>153 147,33</v>
      </c>
      <c t="str" s="226" r="G28">
        <f>SUM(G14:G27)</f>
        <v>176 900,00</v>
      </c>
    </row>
    <row r="29">
      <c s="3" r="A29"/>
      <c s="3" r="B29"/>
      <c s="196" r="C29"/>
      <c s="197" r="D29"/>
      <c s="196" r="E29"/>
      <c s="38" r="F29"/>
      <c s="38" r="G29"/>
    </row>
    <row r="30">
      <c t="s" s="55" r="A30">
        <v>284</v>
      </c>
      <c s="56" r="B30"/>
      <c t="str" s="52" r="C30">
        <f>C11-C28</f>
        <v>102 800,00</v>
      </c>
      <c t="str" s="53" r="D30">
        <f>D11-D28</f>
        <v>−36 422,70</v>
      </c>
      <c t="str" s="54" r="E30">
        <f>E11-E28</f>
        <v>83 200,00</v>
      </c>
      <c t="str" s="34" r="F30">
        <f>F11-F28</f>
        <v>163 735,87</v>
      </c>
      <c t="str" s="35" r="G30">
        <f>G11-G28</f>
        <v>153 100,00</v>
      </c>
    </row>
    <row r="32">
      <c t="s" s="60" r="A32">
        <v>285</v>
      </c>
    </row>
    <row r="33">
      <c t="s" s="61" r="A33">
        <v>286</v>
      </c>
    </row>
    <row r="34">
      <c t="s" s="60" r="A34">
        <v>287</v>
      </c>
    </row>
    <row r="35">
      <c t="s" s="61" r="A35">
        <v>288</v>
      </c>
    </row>
    <row r="36">
      <c t="s" s="60" r="A36">
        <v>289</v>
      </c>
    </row>
    <row r="37">
      <c t="s" s="61" r="A37">
        <v>290</v>
      </c>
    </row>
    <row r="38">
      <c t="s" s="60" r="A38">
        <v>291</v>
      </c>
    </row>
    <row r="39">
      <c t="s" s="61" r="A39">
        <v>292</v>
      </c>
    </row>
  </sheetData>
  <conditionalFormatting sqref="G11">
    <cfRule priority="1" type="cellIs" operator="greaterThan" dxfId="0">
      <formula>0</formula>
    </cfRule>
  </conditionalFormatting>
  <conditionalFormatting sqref="G30">
    <cfRule priority="2" type="cellIs" operator="lessThan" dxfId="1">
      <formula>0</formula>
    </cfRule>
  </conditionalFormatting>
  <conditionalFormatting sqref="F30">
    <cfRule priority="3" type="cellIs" operator="lessThan" dxfId="1">
      <formula>0</formula>
    </cfRule>
  </conditionalFormatting>
  <conditionalFormatting sqref="F11">
    <cfRule priority="4" type="cellIs" operator="greaterThan" dxfId="0">
      <formula>0</formula>
    </cfRule>
  </conditionalFormatting>
  <conditionalFormatting sqref="C11:G11">
    <cfRule priority="5" type="cellIs" operator="greaterThan" dxfId="0">
      <formula>0</formula>
    </cfRule>
  </conditionalFormatting>
  <conditionalFormatting sqref="C30:E30">
    <cfRule priority="6" type="cellIs" operator="lessThan" dxfId="1">
      <formula>0</formula>
    </cfRule>
  </conditionalFormatting>
  <conditionalFormatting sqref="C30:G30">
    <cfRule priority="7" type="cellIs" operator="greaterThan" dxfId="0">
      <formula>0</formula>
    </cfRule>
  </conditionalFormatting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min="1" customWidth="1" max="1" width="23.86"/>
    <col min="8" customWidth="1" max="8" width="34.0"/>
    <col min="9" customWidth="1" max="9" width="9.14"/>
  </cols>
  <sheetData>
    <row r="1">
      <c s="1" r="A1"/>
      <c s="1" r="B1"/>
      <c t="s" s="237" r="C1">
        <v>293</v>
      </c>
    </row>
    <row r="2">
      <c s="1" r="A2"/>
      <c s="1" r="B2"/>
      <c s="3" r="C2"/>
      <c s="3" r="D2"/>
      <c s="3" r="E2"/>
    </row>
    <row r="3">
      <c s="1" r="A3"/>
      <c t="s" s="4" r="B3">
        <v>294</v>
      </c>
      <c t="s" s="5" r="C3">
        <v>295</v>
      </c>
      <c t="s" s="238" r="D3">
        <v>296</v>
      </c>
      <c t="s" s="5" r="E3">
        <v>297</v>
      </c>
      <c t="s" s="239" r="F3">
        <v>298</v>
      </c>
      <c t="s" s="240" r="G3">
        <v>299</v>
      </c>
    </row>
    <row r="4">
      <c t="s" s="10" r="A4">
        <v>300</v>
      </c>
      <c s="11" r="B4"/>
      <c s="241" r="C4"/>
      <c s="242" r="D4"/>
      <c s="243" r="E4"/>
      <c s="244" r="F4"/>
      <c s="245" r="G4"/>
    </row>
    <row r="5">
      <c t="s" s="21" r="A5">
        <v>301</v>
      </c>
      <c s="11" r="B5"/>
      <c s="144" r="C5">
        <v>0.0</v>
      </c>
      <c s="246" r="D5">
        <v>0.0</v>
      </c>
      <c s="247" r="E5">
        <v>10000.0</v>
      </c>
      <c s="248" r="F5">
        <v>15600.0</v>
      </c>
      <c s="249" r="G5">
        <v>5000.0</v>
      </c>
    </row>
    <row r="6">
      <c t="s" s="21" r="A6">
        <v>302</v>
      </c>
      <c t="s" s="250" r="B6">
        <v>303</v>
      </c>
      <c s="144" r="C6">
        <v>0.0</v>
      </c>
      <c s="246" r="D6">
        <v>0.0</v>
      </c>
      <c s="247" r="E6">
        <v>9000.0</v>
      </c>
      <c s="248" r="F6">
        <v>4600.0</v>
      </c>
      <c s="249" r="G6">
        <v>9000.0</v>
      </c>
    </row>
    <row r="7">
      <c t="s" s="21" r="A7">
        <v>304</v>
      </c>
      <c s="11" r="B7"/>
      <c s="144" r="C7">
        <v>30000.0</v>
      </c>
      <c s="246" r="D7">
        <v>26113.0</v>
      </c>
      <c s="247" r="E7">
        <v>35000.0</v>
      </c>
      <c s="248" r="F7">
        <v>11749.0</v>
      </c>
      <c s="249" r="G7">
        <v>35000.0</v>
      </c>
    </row>
    <row r="8">
      <c t="s" s="23" r="A8">
        <v>305</v>
      </c>
      <c t="s" s="251" r="B8">
        <v>306</v>
      </c>
      <c s="144" r="C8">
        <v>115625.0</v>
      </c>
      <c t="str" s="246" r="D8">
        <f>SUM(20000+16000+12750+10000+5000+3000+1000)</f>
        <v>67 750,00</v>
      </c>
      <c s="247" r="E8">
        <v>112000.0</v>
      </c>
      <c s="248" r="F8">
        <v>0.0</v>
      </c>
      <c s="249" r="G8">
        <v>84000.0</v>
      </c>
    </row>
    <row r="9">
      <c t="s" s="21" r="A9">
        <v>307</v>
      </c>
      <c s="11" r="B9"/>
      <c s="144" r="C9">
        <v>3000.0</v>
      </c>
      <c s="246" r="D9">
        <v>0.0</v>
      </c>
      <c s="247" r="E9">
        <v>2156.0</v>
      </c>
      <c s="248" r="F9">
        <v>0.0</v>
      </c>
      <c s="249" r="G9">
        <v>616.0</v>
      </c>
    </row>
    <row r="10">
      <c t="s" s="21" r="A10">
        <v>308</v>
      </c>
      <c s="11" r="B10"/>
      <c s="144" r="C10">
        <v>20000.0</v>
      </c>
      <c s="246" r="D10">
        <v>10000.0</v>
      </c>
      <c s="247" r="E10">
        <v>0.0</v>
      </c>
      <c s="248" r="F10">
        <v>0.0</v>
      </c>
      <c s="249" r="G10">
        <v>0.0</v>
      </c>
    </row>
    <row r="11">
      <c t="s" s="21" r="A11">
        <v>309</v>
      </c>
      <c s="11" r="B11"/>
      <c s="144" r="C11">
        <v>6250.0</v>
      </c>
      <c s="246" r="D11">
        <v>3160.0</v>
      </c>
      <c s="247" r="E11">
        <v>0.0</v>
      </c>
      <c s="248" r="F11">
        <v>0.0</v>
      </c>
      <c s="249" r="G11">
        <v>0.0</v>
      </c>
    </row>
    <row r="12">
      <c t="s" s="21" r="A12">
        <v>310</v>
      </c>
      <c s="11" r="B12"/>
      <c s="144" r="C12">
        <v>0.0</v>
      </c>
      <c s="246" r="D12">
        <v>0.0</v>
      </c>
      <c s="247" r="E12">
        <v>0.0</v>
      </c>
      <c s="248" r="F12">
        <v>60.0</v>
      </c>
      <c s="249" r="G12">
        <v>0.0</v>
      </c>
      <c t="s" s="61" r="H12">
        <v>311</v>
      </c>
    </row>
    <row r="13">
      <c t="s" s="50" r="A13">
        <v>312</v>
      </c>
      <c s="56" r="B13"/>
      <c s="149" r="C13">
        <v>0.0</v>
      </c>
      <c s="252" r="D13">
        <v>24.79</v>
      </c>
      <c s="253" r="E13">
        <v>0.0</v>
      </c>
      <c s="248" r="F13">
        <v>9.53</v>
      </c>
      <c s="249" r="G13">
        <v>0.0</v>
      </c>
    </row>
    <row r="14">
      <c t="s" s="55" r="A14">
        <v>313</v>
      </c>
      <c s="56" r="B14"/>
      <c t="str" s="149" r="C14">
        <f>SUM(C5:C13)</f>
        <v>174 875,00</v>
      </c>
      <c t="str" s="252" r="D14">
        <f>SUM(D4:D13)</f>
        <v>107 047,79</v>
      </c>
      <c t="str" s="254" r="E14">
        <f>SUM(E5:E13)</f>
        <v>168 156,00</v>
      </c>
      <c t="str" s="255" r="F14">
        <f>sum(F5:F13)</f>
        <v>32 018,53</v>
      </c>
      <c t="str" s="255" r="G14">
        <f>sum(G5:G13)</f>
        <v>133 616,00</v>
      </c>
    </row>
    <row r="15">
      <c s="1" r="A15"/>
      <c s="1" r="B15"/>
      <c s="256" r="C15"/>
      <c s="256" r="D15"/>
      <c s="256" r="E15"/>
      <c s="257" r="F15"/>
      <c s="257" r="G15"/>
    </row>
    <row r="16">
      <c t="s" s="39" r="A16">
        <v>314</v>
      </c>
      <c s="11" r="B16"/>
      <c s="241" r="C16"/>
      <c s="242" r="D16"/>
      <c s="243" r="E16"/>
      <c s="258" r="F16"/>
      <c s="259" r="G16"/>
    </row>
    <row r="17">
      <c s="1" r="A17"/>
      <c s="11" r="B17"/>
      <c s="241" r="C17"/>
      <c s="242" r="D17"/>
      <c s="243" r="E17"/>
      <c s="78" r="F17"/>
      <c s="260" r="G17"/>
    </row>
    <row r="18">
      <c t="s" s="21" r="A18">
        <v>315</v>
      </c>
      <c s="11" r="B18"/>
      <c s="144" r="C18">
        <v>0.0</v>
      </c>
      <c s="246" r="D18">
        <v>0.0</v>
      </c>
      <c s="247" r="E18">
        <v>10000.0</v>
      </c>
      <c s="261" r="F18">
        <v>29990.0</v>
      </c>
      <c s="262" r="G18">
        <v>5000.0</v>
      </c>
    </row>
    <row r="19">
      <c t="s" s="21" r="A19">
        <v>316</v>
      </c>
      <c t="s" s="250" r="B19">
        <v>317</v>
      </c>
      <c s="144" r="C19">
        <v>0.0</v>
      </c>
      <c s="246" r="D19">
        <v>0.0</v>
      </c>
      <c s="247" r="E19">
        <v>9000.0</v>
      </c>
      <c s="261" r="F19">
        <v>0.0</v>
      </c>
      <c s="262" r="G19">
        <v>9000.0</v>
      </c>
      <c t="s" s="61" r="H19">
        <v>318</v>
      </c>
    </row>
    <row r="20">
      <c t="s" s="59" r="A20">
        <v>319</v>
      </c>
      <c s="11" r="B20"/>
      <c s="144" r="C20">
        <v>33000.0</v>
      </c>
      <c s="246" r="D20">
        <v>29331.0</v>
      </c>
      <c s="247" r="E20">
        <v>0.0</v>
      </c>
      <c s="261" r="F20">
        <v>4839.0</v>
      </c>
      <c s="262" r="G20">
        <v>0.0</v>
      </c>
      <c t="s" s="61" r="H20">
        <v>320</v>
      </c>
    </row>
    <row r="21">
      <c t="s" s="21" r="A21">
        <v>321</v>
      </c>
      <c t="s" s="250" r="B21">
        <v>322</v>
      </c>
      <c t="str" s="144" r="C21">
        <f>125000+1200</f>
        <v>126 200,00</v>
      </c>
      <c t="str" s="246" r="D21">
        <f>SUM(22400+22590+26775+28658)+1213</f>
        <v>101 636,00</v>
      </c>
      <c t="str" s="247" r="E21">
        <f>108756</f>
        <v>108 756,00</v>
      </c>
      <c s="261" r="F21">
        <v>80093.0</v>
      </c>
      <c s="262" r="G21">
        <v>86216.0</v>
      </c>
    </row>
    <row r="22">
      <c t="s" s="21" r="A22">
        <v>323</v>
      </c>
      <c s="11" r="B22"/>
      <c s="144" r="C22">
        <v>30000.0</v>
      </c>
      <c s="246" r="D22">
        <v>34625.0</v>
      </c>
      <c s="247" r="E22">
        <v>35000.0</v>
      </c>
      <c s="261" r="F22">
        <v>14686.5</v>
      </c>
      <c s="262" r="G22">
        <v>35000.0</v>
      </c>
    </row>
    <row r="23">
      <c t="s" s="21" r="A23">
        <v>324</v>
      </c>
      <c t="s" s="250" r="B23">
        <v>325</v>
      </c>
      <c s="144" r="C23">
        <v>10000.0</v>
      </c>
      <c t="str" s="246" r="D23">
        <f>SUM(456+5123)</f>
        <v>5 579,00</v>
      </c>
      <c s="247" r="E23">
        <v>6967.0</v>
      </c>
      <c t="str" s="261" r="F23">
        <f>6065,38+670,5</f>
        <v>6 735,88</v>
      </c>
      <c s="262" r="G23">
        <v>7000.0</v>
      </c>
    </row>
    <row r="24">
      <c t="s" s="21" r="A24">
        <v>326</v>
      </c>
      <c t="s" s="250" r="B24">
        <v>327</v>
      </c>
      <c s="144" r="C24">
        <v>2000.0</v>
      </c>
      <c t="str" s="246" r="D24">
        <f>SUM(39,4+100+137,9+900)</f>
        <v>1 177,30</v>
      </c>
      <c s="247" r="E24">
        <v>3000.0</v>
      </c>
      <c s="261" r="F24">
        <v>2223.0</v>
      </c>
      <c s="262" r="G24">
        <v>3400.0</v>
      </c>
    </row>
    <row r="25">
      <c t="s" s="21" r="A25">
        <v>328</v>
      </c>
      <c t="s" s="250" r="B25">
        <v>329</v>
      </c>
      <c s="144" r="C25">
        <v>2000.0</v>
      </c>
      <c t="str" s="246" r="D25">
        <f>SUM(202+2644)</f>
        <v>2 846,00</v>
      </c>
      <c s="247" r="E25">
        <v>2000.0</v>
      </c>
      <c s="261" r="F25">
        <v>3249.0</v>
      </c>
      <c s="262" r="G25">
        <v>2000.0</v>
      </c>
    </row>
    <row r="26">
      <c t="s" s="21" r="A26">
        <v>330</v>
      </c>
      <c s="11" r="B26"/>
      <c s="144" r="C26">
        <v>1000.0</v>
      </c>
      <c s="246" r="D26">
        <v>0.0</v>
      </c>
      <c s="247" r="E26">
        <v>0.0</v>
      </c>
      <c s="261" r="F26">
        <v>0.0</v>
      </c>
      <c s="262" r="G26">
        <v>0.0</v>
      </c>
    </row>
    <row r="27">
      <c t="s" s="29" r="A27">
        <v>331</v>
      </c>
      <c s="30" r="B27"/>
      <c t="str" s="156" r="C27">
        <f>SUM(C17:C26)</f>
        <v>204 200,00</v>
      </c>
      <c t="str" s="156" r="D27">
        <f>SUM(D16:D26)</f>
        <v>175 194,30</v>
      </c>
      <c t="str" s="263" r="E27">
        <f>SUM(E18:E26)</f>
        <v>174 723,00</v>
      </c>
      <c t="str" s="264" r="F27">
        <f>sum(F16:F26)</f>
        <v>141 816,38</v>
      </c>
      <c t="str" s="265" r="G27">
        <f>sum(G18:G26)</f>
        <v>147 616,00</v>
      </c>
    </row>
    <row r="28">
      <c s="3" r="A28"/>
      <c s="3" r="B28"/>
      <c s="256" r="C28"/>
      <c s="256" r="D28"/>
      <c s="256" r="E28"/>
      <c s="257" r="F28"/>
      <c s="257" r="G28"/>
    </row>
    <row r="29">
      <c t="s" s="55" r="A29">
        <v>332</v>
      </c>
      <c s="56" r="B29"/>
      <c t="str" s="149" r="C29">
        <f>SUM(C14-C27)</f>
        <v>−29 325,00</v>
      </c>
      <c t="str" s="252" r="D29">
        <f>SUM(D14-D27)</f>
        <v>−68 146,51</v>
      </c>
      <c t="str" s="254" r="E29">
        <f>SUM(E14-E27)</f>
        <v>−6 567,00</v>
      </c>
      <c t="str" s="265" r="F29">
        <f>F14-F27</f>
        <v>−109 797,85</v>
      </c>
      <c t="str" s="265" r="G29">
        <f>G14-G27</f>
        <v>−14 000,00</v>
      </c>
    </row>
    <row r="30">
      <c s="1" r="A30"/>
      <c s="1" r="B30"/>
      <c s="1" r="C30"/>
      <c s="1" r="D30"/>
      <c s="1" r="E30"/>
    </row>
    <row r="31">
      <c t="s" s="39" r="A31">
        <v>333</v>
      </c>
      <c t="s" s="21" r="B31">
        <v>334</v>
      </c>
      <c s="1" r="C31"/>
      <c s="1" r="D31"/>
      <c s="1" r="E31"/>
    </row>
    <row r="32">
      <c s="1" r="A32"/>
      <c t="s" s="21" r="B32">
        <v>335</v>
      </c>
      <c s="1" r="C32"/>
      <c s="1" r="D32"/>
      <c s="1" r="E32"/>
    </row>
    <row r="33">
      <c t="s" s="39" r="A33">
        <v>336</v>
      </c>
      <c t="s" s="21" r="B33">
        <v>337</v>
      </c>
      <c s="1" r="C33"/>
      <c s="1" r="D33"/>
      <c s="1" r="E33"/>
    </row>
    <row r="34">
      <c t="s" s="39" r="A34">
        <v>338</v>
      </c>
      <c t="s" s="21" r="B34">
        <v>339</v>
      </c>
      <c s="1" r="C34"/>
      <c s="1" r="D34"/>
      <c s="1" r="E34"/>
    </row>
    <row r="35">
      <c t="s" s="39" r="A35">
        <v>340</v>
      </c>
      <c t="s" s="21" r="B35">
        <v>341</v>
      </c>
      <c s="1" r="C35"/>
      <c s="1" r="D35"/>
      <c s="1" r="E35"/>
    </row>
    <row r="36">
      <c t="s" s="39" r="A36">
        <v>342</v>
      </c>
      <c t="s" s="21" r="B36">
        <v>343</v>
      </c>
      <c s="1" r="C36"/>
      <c s="1" r="D36"/>
      <c s="1" r="E36"/>
    </row>
    <row r="37">
      <c t="s" s="39" r="A37">
        <v>344</v>
      </c>
      <c t="s" s="21" r="B37">
        <v>345</v>
      </c>
      <c s="1" r="C37"/>
      <c s="1" r="D37"/>
      <c s="1" r="E37"/>
    </row>
    <row r="38">
      <c t="s" s="227" r="A38">
        <v>346</v>
      </c>
      <c t="s" s="59" r="B38">
        <v>347</v>
      </c>
    </row>
  </sheetData>
  <mergeCells count="1">
    <mergeCell ref="C1:E1"/>
  </mergeCells>
  <conditionalFormatting sqref="C14:E14">
    <cfRule priority="1" type="cellIs" operator="greaterThan" dxfId="0">
      <formula>0</formula>
    </cfRule>
  </conditionalFormatting>
  <conditionalFormatting sqref="C29:E29">
    <cfRule priority="2" type="cellIs" operator="lessThan" dxfId="1">
      <formula>0</formula>
    </cfRule>
  </conditionalFormatting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min="1" customWidth="1" max="1" width="33.29"/>
    <col min="5" customWidth="1" max="5" width="18.57"/>
    <col min="6" customWidth="1" max="6" width="18.14"/>
  </cols>
  <sheetData>
    <row r="1">
      <c s="1" r="A1"/>
      <c s="1" r="B1"/>
      <c s="1" r="C1"/>
      <c s="1" r="D1"/>
    </row>
    <row r="2">
      <c s="1" r="A2"/>
      <c s="3" r="B2"/>
      <c s="3" r="C2"/>
      <c s="3" r="D2"/>
    </row>
    <row r="3">
      <c s="11" r="A3"/>
      <c t="s" s="266" r="B3">
        <v>348</v>
      </c>
      <c t="s" s="267" r="C3">
        <v>349</v>
      </c>
      <c t="s" s="266" r="D3">
        <v>350</v>
      </c>
      <c t="s" s="268" r="E3">
        <v>351</v>
      </c>
      <c t="s" s="70" r="F3">
        <v>352</v>
      </c>
    </row>
    <row r="4">
      <c t="s" s="177" r="A4">
        <v>353</v>
      </c>
      <c s="75" r="B4"/>
      <c s="76" r="C4"/>
      <c s="77" r="D4"/>
      <c s="269" r="E4"/>
      <c s="16" r="F4"/>
    </row>
    <row r="5">
      <c t="s" s="180" r="A5">
        <v>354</v>
      </c>
      <c s="18" r="B5">
        <v>18000.0</v>
      </c>
      <c s="85" r="C5">
        <v>18100.0</v>
      </c>
      <c s="20" r="D5">
        <v>18000.0</v>
      </c>
      <c s="270" r="E5">
        <v>18500.0</v>
      </c>
      <c s="271" r="F5">
        <v>18000.0</v>
      </c>
    </row>
    <row r="6">
      <c t="s" s="180" r="A6">
        <v>355</v>
      </c>
      <c s="18" r="B6">
        <v>30000.0</v>
      </c>
      <c s="85" r="C6">
        <v>15000.0</v>
      </c>
      <c s="20" r="D6">
        <v>52500.0</v>
      </c>
      <c s="270" r="E6">
        <v>45000.0</v>
      </c>
      <c s="271" r="F6">
        <v>50000.0</v>
      </c>
    </row>
    <row r="7">
      <c t="s" s="180" r="A7">
        <v>356</v>
      </c>
      <c s="18" r="B7">
        <v>0.0</v>
      </c>
      <c s="85" r="C7">
        <v>0.0</v>
      </c>
      <c s="20" r="D7">
        <v>0.0</v>
      </c>
      <c s="270" r="E7">
        <v>0.0</v>
      </c>
      <c s="28" r="F7">
        <v>0.0</v>
      </c>
    </row>
    <row r="8">
      <c t="s" s="272" r="A8">
        <v>357</v>
      </c>
      <c s="52" r="B8">
        <v>0.0</v>
      </c>
      <c s="273" r="C8">
        <v>5.66</v>
      </c>
      <c s="54" r="D8">
        <v>0.0</v>
      </c>
      <c s="274" r="E8">
        <v>14.64</v>
      </c>
      <c s="275" r="F8">
        <v>0.0</v>
      </c>
    </row>
    <row r="9">
      <c t="s" s="276" r="A9">
        <v>358</v>
      </c>
      <c t="str" s="277" r="B9">
        <f>sum(B5:B8)</f>
        <v>48 000,00</v>
      </c>
      <c t="str" s="277" r="C9">
        <f>sum(C5:C8)</f>
        <v>33 105,66</v>
      </c>
      <c t="str" s="277" r="D9">
        <f>sum(D5:D8)</f>
        <v>70 500,00</v>
      </c>
      <c t="str" s="277" r="E9">
        <f>sum(E5:E8)</f>
        <v>63 514,64</v>
      </c>
      <c t="str" s="277" r="F9">
        <f>sum(F5:F8)</f>
        <v>68 000,00</v>
      </c>
    </row>
    <row r="10">
      <c s="11" r="A10"/>
      <c s="76" r="B10"/>
      <c s="76" r="C10"/>
      <c s="76" r="D10"/>
      <c s="278" r="E10"/>
      <c s="38" r="F10"/>
    </row>
    <row r="11">
      <c t="s" s="177" r="A11">
        <v>359</v>
      </c>
      <c s="279" r="B11"/>
      <c s="280" r="C11"/>
      <c s="281" r="D11"/>
      <c s="269" r="E11"/>
      <c s="42" r="F11"/>
    </row>
    <row r="12">
      <c t="s" s="180" r="A12">
        <v>360</v>
      </c>
      <c s="18" r="B12">
        <v>0.0</v>
      </c>
      <c s="85" r="C12">
        <v>0.0</v>
      </c>
      <c s="20" r="D12">
        <v>7500.0</v>
      </c>
      <c s="282" r="E12">
        <v>0.0</v>
      </c>
      <c s="28" r="F12">
        <v>0.0</v>
      </c>
    </row>
    <row r="13">
      <c t="s" s="180" r="A13">
        <v>361</v>
      </c>
      <c s="18" r="B13">
        <v>0.0</v>
      </c>
      <c s="85" r="C13">
        <v>3689.54</v>
      </c>
      <c s="20" r="D13">
        <v>3000.0</v>
      </c>
      <c s="270" r="E13">
        <v>3431.16</v>
      </c>
      <c s="271" r="F13">
        <v>3500.0</v>
      </c>
      <c s="283" r="G13"/>
    </row>
    <row r="14">
      <c t="s" s="180" r="A14">
        <v>362</v>
      </c>
      <c s="18" r="B14">
        <v>1000.0</v>
      </c>
      <c s="85" r="C14">
        <v>0.0</v>
      </c>
      <c s="20" r="D14">
        <v>4000.0</v>
      </c>
      <c s="270" r="E14">
        <v>2199.0</v>
      </c>
      <c s="271" r="F14">
        <v>2500.0</v>
      </c>
      <c s="283" r="G14"/>
    </row>
    <row r="15">
      <c t="s" s="180" r="A15">
        <v>363</v>
      </c>
      <c s="18" r="B15">
        <v>0.0</v>
      </c>
      <c s="85" r="C15">
        <v>0.0</v>
      </c>
      <c s="20" r="D15">
        <v>2000.0</v>
      </c>
      <c s="270" r="E15">
        <v>717.0</v>
      </c>
      <c s="271" r="F15">
        <v>1000.0</v>
      </c>
      <c s="283" r="G15"/>
    </row>
    <row r="16">
      <c t="s" s="180" r="A16">
        <v>364</v>
      </c>
      <c s="18" r="B16">
        <v>16000.0</v>
      </c>
      <c s="85" r="C16">
        <v>17631.25</v>
      </c>
      <c s="20" r="D16">
        <v>21100.0</v>
      </c>
      <c s="270" r="E16">
        <v>24022.5</v>
      </c>
      <c s="271" r="F16">
        <v>24100.0</v>
      </c>
      <c s="283" r="G16"/>
    </row>
    <row r="17">
      <c t="s" s="180" r="A17">
        <v>365</v>
      </c>
      <c s="18" r="B17">
        <v>0.0</v>
      </c>
      <c s="85" r="C17">
        <v>1344.1</v>
      </c>
      <c s="20" r="D17">
        <v>900.0</v>
      </c>
      <c s="270" r="E17">
        <v>244.6</v>
      </c>
      <c s="271" r="F17">
        <v>800.0</v>
      </c>
      <c s="283" r="G17"/>
    </row>
    <row r="18">
      <c t="s" s="180" r="A18">
        <v>366</v>
      </c>
      <c s="18" r="B18">
        <v>8500.0</v>
      </c>
      <c s="85" r="C18">
        <v>4146.2</v>
      </c>
      <c s="20" r="D18">
        <v>6500.0</v>
      </c>
      <c s="270" r="E18">
        <v>6652.01</v>
      </c>
      <c s="271" r="F18">
        <v>6500.0</v>
      </c>
      <c s="284" r="G18"/>
    </row>
    <row r="19">
      <c t="s" s="180" r="A19">
        <v>367</v>
      </c>
      <c s="18" r="B19">
        <v>10000.0</v>
      </c>
      <c s="85" r="C19">
        <v>0.0</v>
      </c>
      <c s="20" r="D19">
        <v>10000.0</v>
      </c>
      <c s="270" r="E19">
        <v>10000.0</v>
      </c>
      <c s="271" r="F19">
        <v>10000.0</v>
      </c>
      <c s="283" r="G19"/>
    </row>
    <row r="20">
      <c t="s" s="180" r="A20">
        <v>368</v>
      </c>
      <c s="18" r="B20">
        <v>9000.0</v>
      </c>
      <c s="85" r="C20">
        <v>5617.96</v>
      </c>
      <c s="20" r="D20">
        <v>7000.0</v>
      </c>
      <c s="270" r="E20">
        <v>11900.53</v>
      </c>
      <c s="271" r="F20">
        <v>10100.0</v>
      </c>
      <c s="283" r="G20"/>
    </row>
    <row r="21">
      <c t="s" s="180" r="A21">
        <v>369</v>
      </c>
      <c s="25" r="B21">
        <v>0.0</v>
      </c>
      <c s="102" r="C21">
        <v>0.0</v>
      </c>
      <c s="26" r="D21">
        <v>0.0</v>
      </c>
      <c s="270" r="E21">
        <v>0.0</v>
      </c>
      <c s="271" r="F21">
        <v>4000.0</v>
      </c>
      <c s="283" r="G21"/>
    </row>
    <row r="22">
      <c t="s" s="180" r="A22">
        <v>370</v>
      </c>
      <c s="18" r="B22">
        <v>1500.0</v>
      </c>
      <c s="85" r="C22">
        <v>0.0</v>
      </c>
      <c s="20" r="D22">
        <v>1500.0</v>
      </c>
      <c s="270" r="E22">
        <v>1241.0</v>
      </c>
      <c s="271" r="F22">
        <v>1500.0</v>
      </c>
      <c s="283" r="G22"/>
    </row>
    <row r="23">
      <c t="s" s="180" r="A23">
        <v>371</v>
      </c>
      <c s="18" r="B23">
        <v>2000.0</v>
      </c>
      <c s="85" r="C23">
        <v>0.0</v>
      </c>
      <c s="20" r="D23">
        <v>2000.0</v>
      </c>
      <c s="270" r="E23">
        <v>298.66</v>
      </c>
      <c s="271" r="F23">
        <v>2000.0</v>
      </c>
      <c s="283" r="G23"/>
    </row>
    <row r="24">
      <c t="s" s="165" r="A24">
        <v>372</v>
      </c>
      <c s="18" r="B24">
        <v>0.0</v>
      </c>
      <c s="85" r="C24">
        <v>0.0</v>
      </c>
      <c s="20" r="D24">
        <v>5000.0</v>
      </c>
      <c s="27" r="E24">
        <v>0.0</v>
      </c>
      <c s="271" r="F24">
        <v>2000.0</v>
      </c>
      <c s="283" r="G24"/>
    </row>
    <row r="25">
      <c t="s" s="170" r="A25">
        <v>373</v>
      </c>
      <c s="18" r="B25">
        <v>0.0</v>
      </c>
      <c s="85" r="C25">
        <v>0.0</v>
      </c>
      <c s="20" r="D25">
        <v>0.0</v>
      </c>
      <c s="27" r="E25">
        <v>0.0</v>
      </c>
      <c s="28" r="F25">
        <v>0.0</v>
      </c>
    </row>
    <row r="26">
      <c t="s" s="285" r="A26">
        <v>374</v>
      </c>
      <c t="str" s="286" r="B26">
        <f>sum(B12:B25)</f>
        <v>48 000,00</v>
      </c>
      <c t="str" s="286" r="C26">
        <f>sum(C12:C25)</f>
        <v>32 429,05</v>
      </c>
      <c t="str" s="286" r="D26">
        <f>sum(D12:D25)</f>
        <v>70 500,00</v>
      </c>
      <c t="str" s="286" r="E26">
        <f>sum(E12:E25)</f>
        <v>60 706,46</v>
      </c>
      <c t="str" s="286" r="F26">
        <f>sum(F12:F25)</f>
        <v>68 000,00</v>
      </c>
    </row>
    <row r="27">
      <c s="3" r="A27"/>
      <c s="35" r="B27"/>
      <c s="35" r="C27"/>
      <c s="35" r="D27"/>
      <c s="35" r="E27"/>
      <c s="35" r="F27"/>
    </row>
    <row r="28">
      <c t="s" s="285" r="A28">
        <v>375</v>
      </c>
      <c s="122" r="B28">
        <v>0.0</v>
      </c>
      <c t="str" s="123" r="C28">
        <f>C9-C26</f>
        <v>676,61</v>
      </c>
      <c s="122" r="D28">
        <v>0.0</v>
      </c>
      <c t="str" s="287" r="E28">
        <f>E9-E26</f>
        <v>2 808,18</v>
      </c>
      <c s="288" r="F28">
        <v>0.0</v>
      </c>
    </row>
    <row r="29">
      <c s="38" r="F29"/>
    </row>
    <row r="30">
      <c s="289" r="A30"/>
      <c s="72" r="B30"/>
      <c s="60" r="C30"/>
    </row>
  </sheetData>
  <conditionalFormatting sqref="B28:D28">
    <cfRule priority="1" type="cellIs" operator="greaterThan" dxfId="0">
      <formula>0</formula>
    </cfRule>
  </conditionalFormatting>
  <conditionalFormatting sqref="B28:D28">
    <cfRule priority="2" type="cellIs" operator="lessThan" dxfId="1">
      <formula>0</formula>
    </cfRule>
  </conditionalFormatting>
  <conditionalFormatting sqref="B28:D28">
    <cfRule priority="3" type="cellIs" operator="equal" dxfId="0">
      <formula>0</formula>
    </cfRule>
  </conditionalFormatting>
  <drawing r:id="rId1"/>
</worksheet>
</file>